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inteles\Desktop\GARE\AGENDA DIGITALE 2\Atti di gara\definitivi\Progetto Amministrazione Digitale\"/>
    </mc:Choice>
  </mc:AlternateContent>
  <bookViews>
    <workbookView xWindow="0" yWindow="0" windowWidth="28800" windowHeight="12285"/>
  </bookViews>
  <sheets>
    <sheet name="ALLEGATO C.1" sheetId="2" r:id="rId1"/>
    <sheet name="ALLEGATO C.2" sheetId="1" r:id="rId2"/>
    <sheet name="ALLEGATO C.3" sheetId="3" r:id="rId3"/>
  </sheets>
  <definedNames>
    <definedName name="_xlnm.Print_Area" localSheetId="0">'ALLEGATO C.1'!$A$1:$F$8</definedName>
    <definedName name="_xlnm.Print_Area" localSheetId="1">'ALLEGATO C.2'!$A$1:$M$25</definedName>
    <definedName name="_xlnm.Print_Area" localSheetId="2">'ALLEGATO C.3'!$A$1:$J$24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I4" i="1" l="1"/>
  <c r="H4" i="1" l="1"/>
  <c r="G19" i="3" l="1"/>
  <c r="G20" i="3"/>
  <c r="G21" i="3"/>
  <c r="G22" i="3"/>
  <c r="G23" i="3"/>
  <c r="G24" i="3"/>
  <c r="F7" i="3"/>
  <c r="C7" i="3"/>
  <c r="F24" i="3"/>
  <c r="F23" i="3"/>
  <c r="F22" i="3"/>
  <c r="F21" i="3"/>
  <c r="F20" i="3"/>
  <c r="L4" i="1"/>
  <c r="M4" i="1" s="1"/>
  <c r="L20" i="1"/>
  <c r="M20" i="1" s="1"/>
  <c r="L21" i="1"/>
  <c r="H12" i="1"/>
  <c r="J12" i="1" s="1"/>
  <c r="G15" i="1"/>
  <c r="H15" i="1" s="1"/>
  <c r="J15" i="1" s="1"/>
  <c r="G16" i="1"/>
  <c r="H16" i="1" s="1"/>
  <c r="J16" i="1" s="1"/>
  <c r="G17" i="1"/>
  <c r="G18" i="1"/>
  <c r="I18" i="1" s="1"/>
  <c r="K18" i="1" s="1"/>
  <c r="H18" i="1"/>
  <c r="J18" i="1" s="1"/>
  <c r="H5" i="1"/>
  <c r="L5" i="1" s="1"/>
  <c r="M5" i="1" s="1"/>
  <c r="G6" i="1"/>
  <c r="G7" i="1"/>
  <c r="H7" i="1" s="1"/>
  <c r="J7" i="1" s="1"/>
  <c r="G8" i="1"/>
  <c r="H8" i="1" s="1"/>
  <c r="J8" i="1" s="1"/>
  <c r="G9" i="1"/>
  <c r="H9" i="1" s="1"/>
  <c r="J9" i="1" s="1"/>
  <c r="H10" i="1"/>
  <c r="L10" i="1" s="1"/>
  <c r="M10" i="1" s="1"/>
  <c r="H11" i="1"/>
  <c r="L11" i="1" s="1"/>
  <c r="M11" i="1" s="1"/>
  <c r="H13" i="1"/>
  <c r="L13" i="1" s="1"/>
  <c r="M13" i="1" s="1"/>
  <c r="G14" i="1"/>
  <c r="H14" i="1" s="1"/>
  <c r="J14" i="1" s="1"/>
  <c r="H19" i="1"/>
  <c r="L19" i="1" s="1"/>
  <c r="M19" i="1" s="1"/>
  <c r="I5" i="1"/>
  <c r="I10" i="1"/>
  <c r="I11" i="1"/>
  <c r="I12" i="1"/>
  <c r="I13" i="1"/>
  <c r="I19" i="1"/>
  <c r="I20" i="1"/>
  <c r="K20" i="1" s="1"/>
  <c r="I21" i="1"/>
  <c r="J4" i="1"/>
  <c r="J5" i="1"/>
  <c r="J10" i="1"/>
  <c r="J11" i="1"/>
  <c r="J20" i="1"/>
  <c r="J21" i="1"/>
  <c r="B4" i="2"/>
  <c r="E4" i="2" s="1"/>
  <c r="C10" i="3"/>
  <c r="K11" i="1" l="1"/>
  <c r="I9" i="1"/>
  <c r="K5" i="1"/>
  <c r="H19" i="3"/>
  <c r="F5" i="3" s="1"/>
  <c r="F25" i="1"/>
  <c r="M21" i="1"/>
  <c r="K12" i="1"/>
  <c r="K21" i="1"/>
  <c r="E25" i="1" s="1"/>
  <c r="I17" i="1"/>
  <c r="K17" i="1" s="1"/>
  <c r="J13" i="1"/>
  <c r="K13" i="1" s="1"/>
  <c r="I15" i="1"/>
  <c r="K15" i="1" s="1"/>
  <c r="H17" i="1"/>
  <c r="J17" i="1" s="1"/>
  <c r="I8" i="1"/>
  <c r="K8" i="1" s="1"/>
  <c r="K9" i="1"/>
  <c r="L16" i="1"/>
  <c r="M16" i="1" s="1"/>
  <c r="L9" i="1"/>
  <c r="M9" i="1" s="1"/>
  <c r="J19" i="1"/>
  <c r="K19" i="1" s="1"/>
  <c r="I14" i="1"/>
  <c r="K14" i="1" s="1"/>
  <c r="K10" i="1"/>
  <c r="L15" i="1"/>
  <c r="M15" i="1" s="1"/>
  <c r="I7" i="3"/>
  <c r="J7" i="3" s="1"/>
  <c r="L18" i="1"/>
  <c r="M18" i="1" s="1"/>
  <c r="L14" i="1"/>
  <c r="M14" i="1" s="1"/>
  <c r="C8" i="3"/>
  <c r="C12" i="3" s="1"/>
  <c r="G7" i="3"/>
  <c r="K4" i="1"/>
  <c r="I16" i="1"/>
  <c r="K16" i="1" s="1"/>
  <c r="L12" i="1"/>
  <c r="M12" i="1" s="1"/>
  <c r="L8" i="1"/>
  <c r="M8" i="1" s="1"/>
  <c r="I7" i="1"/>
  <c r="K7" i="1" s="1"/>
  <c r="L7" i="1"/>
  <c r="M7" i="1" s="1"/>
  <c r="I6" i="1"/>
  <c r="H6" i="1"/>
  <c r="J6" i="1" s="1"/>
  <c r="F6" i="3" l="1"/>
  <c r="I6" i="3" s="1"/>
  <c r="J6" i="3" s="1"/>
  <c r="F9" i="3"/>
  <c r="I9" i="3" s="1"/>
  <c r="J9" i="3" s="1"/>
  <c r="J10" i="3" s="1"/>
  <c r="I5" i="3"/>
  <c r="J22" i="1"/>
  <c r="L17" i="1"/>
  <c r="M17" i="1" s="1"/>
  <c r="I22" i="1"/>
  <c r="L6" i="1"/>
  <c r="M6" i="1" s="1"/>
  <c r="K6" i="1"/>
  <c r="K22" i="1" s="1"/>
  <c r="M22" i="1" l="1"/>
  <c r="G9" i="3"/>
  <c r="I10" i="3"/>
  <c r="G5" i="3"/>
  <c r="B3" i="2"/>
  <c r="E3" i="2" s="1"/>
  <c r="E5" i="2" s="1"/>
  <c r="C25" i="1"/>
  <c r="G25" i="1" s="1"/>
  <c r="G6" i="3"/>
  <c r="L22" i="1"/>
  <c r="D25" i="1" s="1"/>
  <c r="H25" i="1" s="1"/>
  <c r="J5" i="3" l="1"/>
  <c r="J8" i="3" s="1"/>
  <c r="J12" i="3" s="1"/>
  <c r="F4" i="2" s="1"/>
  <c r="B5" i="2"/>
  <c r="C3" i="2"/>
  <c r="F3" i="2" s="1"/>
  <c r="I8" i="3"/>
  <c r="I12" i="3" s="1"/>
  <c r="C4" i="2" s="1"/>
  <c r="F5" i="2" l="1"/>
  <c r="C9" i="2" s="1"/>
  <c r="C5" i="2"/>
  <c r="D9" i="2" s="1"/>
  <c r="B9" i="2" l="1"/>
</calcChain>
</file>

<file path=xl/sharedStrings.xml><?xml version="1.0" encoding="utf-8"?>
<sst xmlns="http://schemas.openxmlformats.org/spreadsheetml/2006/main" count="138" uniqueCount="107">
  <si>
    <t>Dettaglio Attività</t>
  </si>
  <si>
    <t>U.M.</t>
  </si>
  <si>
    <t>CUP</t>
  </si>
  <si>
    <t>NA</t>
  </si>
  <si>
    <t>CSB</t>
  </si>
  <si>
    <t xml:space="preserve">Servizio </t>
  </si>
  <si>
    <t>Elemento di fornitura</t>
  </si>
  <si>
    <t xml:space="preserve"> Importo offerto
(IVA esclusa)</t>
  </si>
  <si>
    <t xml:space="preserve"> Importo offerto
(IVA inclusa)</t>
  </si>
  <si>
    <t>TOTALE</t>
  </si>
  <si>
    <t>N° Unità</t>
  </si>
  <si>
    <t>Durata contratto
(in mesi)</t>
  </si>
  <si>
    <t>Giorni uomo / Mese</t>
  </si>
  <si>
    <t>Tariffa giornaliera  offerta per il mix di figure professionali</t>
  </si>
  <si>
    <t>Importo mensile (IVA esclusa)</t>
  </si>
  <si>
    <t>algoritmi di calcolo</t>
  </si>
  <si>
    <t>( e )</t>
  </si>
  <si>
    <t>( f )</t>
  </si>
  <si>
    <t>( g )</t>
  </si>
  <si>
    <t>( h1 = e*f*g*d)</t>
  </si>
  <si>
    <t>( h2 = e*f*g*d)</t>
  </si>
  <si>
    <t>( h3 = h2*1,22)</t>
  </si>
  <si>
    <t>NOTA 1: la "Tariffa giornaliera  offerta per il mix di figure professionali" va determinata sulla base della apposita tabella di seguito riportata</t>
  </si>
  <si>
    <t>Figura professionale</t>
  </si>
  <si>
    <t>Stima dell'impegno delle diverse figure prof. all'esecuzione dell'attività
( % )</t>
  </si>
  <si>
    <t>Tariffa giornaliera offerta,
per figura professionale
(IVA esclusa)</t>
  </si>
  <si>
    <t>( a )</t>
  </si>
  <si>
    <t>( b )</t>
  </si>
  <si>
    <t>Progettista/capo progetto</t>
  </si>
  <si>
    <t>Analista Programmatore/Sistemista/addetto al supporto specialistico</t>
  </si>
  <si>
    <t>Programmatore/specialista di attività tecniche-amministrative</t>
  </si>
  <si>
    <t>Esperto di ambiti (sistemi GIS, PO-FESR, FSE,  statistica, ambiente e territorio, formazione, energia, sanità, comunicazione)</t>
  </si>
  <si>
    <t>Formatore /addetto alla gestione  Amministrativa</t>
  </si>
  <si>
    <t>operatore</t>
  </si>
  <si>
    <t xml:space="preserve">Gestione Email / Fax </t>
  </si>
  <si>
    <t xml:space="preserve">Back Office dedicato </t>
  </si>
  <si>
    <t xml:space="preserve">Back Office Dedicato </t>
  </si>
  <si>
    <t>ORE/FTE</t>
  </si>
  <si>
    <t xml:space="preserve">Fornitura di postazioni di monitoraggio </t>
  </si>
  <si>
    <t xml:space="preserve">Postazioni di lavoro </t>
  </si>
  <si>
    <t>una tantum</t>
  </si>
  <si>
    <t>Integrazione sistemi e Servizio invio SMS</t>
  </si>
  <si>
    <t xml:space="preserve">Startup e Postazioni di Lavoro </t>
  </si>
  <si>
    <t xml:space="preserve">Contatti telefonici inbound </t>
  </si>
  <si>
    <t>IVA
( 22% )</t>
  </si>
  <si>
    <t>Servizi di supporto progetti-processi di innovazione e ai temi della agenda digitale</t>
  </si>
  <si>
    <t>Servizi di contact center sanitario e regionale</t>
  </si>
  <si>
    <t>Valore a base d'asta unitario</t>
  </si>
  <si>
    <t>Postazioni asp</t>
  </si>
  <si>
    <t>Importo a base d'asta per il periodo contrattuale di 24 mesi 
(IVA esclusa)</t>
  </si>
  <si>
    <t xml:space="preserve"> Importo a base d'asta periodo contrattuale di 24 mesi
(IVA inclusa)</t>
  </si>
  <si>
    <t>Importo base d'asta periodo contrattuale di 24 mesi  comprensivo di una tantum (Iva Esclusa)</t>
  </si>
  <si>
    <t>Importo Offerto per il periodo  contrattuale  di 24 mesi 
(IVA esclusa)</t>
  </si>
  <si>
    <t xml:space="preserve"> Importo offerto per il periodo contrattuale di 24 mesi
(IVA inclusa)</t>
  </si>
  <si>
    <t>Valore a base d'asta
(IVA esclusa)</t>
  </si>
  <si>
    <t>Tariffa giornaliera a base d'asta,
per figura professionale
(IVA esclusa)</t>
  </si>
  <si>
    <t>Linea 1</t>
  </si>
  <si>
    <t>Linea 2</t>
  </si>
  <si>
    <t>Linea di intervento</t>
  </si>
  <si>
    <t xml:space="preserve">C) Formazione, supporto e  Back Office II Livello </t>
  </si>
  <si>
    <t>A) Servizi di supporto ai temi dell’Agenda Digitale</t>
  </si>
  <si>
    <t>B) Servizi di supporto ai processi di innovazione per i cittadini, strutture dipartimentali ed enti sub regionali</t>
  </si>
  <si>
    <t>Totale</t>
  </si>
  <si>
    <t>A) Nuove iniziative a supporto dei processi di innovazione per i cittadini, strutture dipartimentali ed enti sub regionali</t>
  </si>
  <si>
    <t>Totale offerto periodo di 24 mesi comprensivo di una tantum (Iva Esclusa)</t>
  </si>
  <si>
    <t>Durata media (tempo medio di gestione in minuti )</t>
  </si>
  <si>
    <t xml:space="preserve">Minuti </t>
  </si>
  <si>
    <t>Chiamata Outbound comprensiva di costo telefonico</t>
  </si>
  <si>
    <t>Minuti</t>
  </si>
  <si>
    <t>Sistema di gestione dei contatti e delle richieste di servizio in outsourcing (€/min)</t>
  </si>
  <si>
    <t>Sistemi  di accesso ed accoglienza in outsourcing (€/min)</t>
  </si>
  <si>
    <t>Contatti SMS</t>
  </si>
  <si>
    <t>Traffico telefonico Inbound e Outbound VS Rete Mobile (€/min)</t>
  </si>
  <si>
    <t>Traffico telefonico Inbound e Outbound VS Rete Fissa (€/min)</t>
  </si>
  <si>
    <t>Noleggio mensile per 10 postazioni</t>
  </si>
  <si>
    <t>Traffico telefonico Inbound da Rete Mobile (€/min)</t>
  </si>
  <si>
    <t>Traffico telefonico Inbound da Rete Fissa (€/min)</t>
  </si>
  <si>
    <t>Tariffa giornaliera pesata,
per figura professionale
base d'asta(IVA esclusa)</t>
  </si>
  <si>
    <t>Tariffa giornaliera pesata,
per figura professionale
offerta (IVA esclusa)</t>
  </si>
  <si>
    <t>(c = a * b )</t>
  </si>
  <si>
    <t>( b1 )</t>
  </si>
  <si>
    <t>( c1 = a * b1 )</t>
  </si>
  <si>
    <t>Allegato C.1 Offerta economica</t>
  </si>
  <si>
    <t>ALLEGATO C.2 Servizi di Contact Center Sanitario e Regionale</t>
  </si>
  <si>
    <t xml:space="preserve"> ALLEGATO C.3 - Offerta economica per i Servizi di supporto progetti-processi di innovazione e ai temi della Agenda Digitale</t>
  </si>
  <si>
    <t>( d )</t>
  </si>
  <si>
    <t>Valore Offerto (IVA Esclusa)</t>
  </si>
  <si>
    <t>%</t>
  </si>
  <si>
    <t>IVA esclusa</t>
  </si>
  <si>
    <t>Ribasso d'asta</t>
  </si>
  <si>
    <t>IVA inclusa</t>
  </si>
  <si>
    <t xml:space="preserve">Riepilogo costi Servizi di Contact Center </t>
  </si>
  <si>
    <t>Importo base d'asta periodo contrattuale di 24 mesi senza una tantum (Iva Esclusa)</t>
  </si>
  <si>
    <t>Importo Offerta periodo contrattuale di 24 mesi senza una tantum (Iva Esclusa)</t>
  </si>
  <si>
    <t>Importo base d'asta valore una tantum (Iva Esclusa)</t>
  </si>
  <si>
    <t>Importo Offerta una tantum (Iva Esclusa)</t>
  </si>
  <si>
    <r>
      <t>Tariffa giornaliera offerta per il mix di figure professionali impegnate</t>
    </r>
    <r>
      <rPr>
        <sz val="10"/>
        <rFont val="Book Antiqua"/>
        <family val="1"/>
      </rPr>
      <t xml:space="preserve">
determinata sulla base della "Stima dell'impegno delle diverse figure prof. nell'esecuzione dell'attività" predisposta dall'Amministrazione, e delle "Tariffe giornaliere offerte"</t>
    </r>
  </si>
  <si>
    <t>NB: gli unci campi da compilare sono quelli evidenziati in bianco</t>
  </si>
  <si>
    <t>Quantità Presunta di traffico ordinario per 24 mesi</t>
  </si>
  <si>
    <t>Totale valore a base d'asta del traffico ordinario per 24 mesi
IVA esclusa</t>
  </si>
  <si>
    <t>Quantità Presunta di traffico aggiuntivo (MAX 20%) per 24 mesi</t>
  </si>
  <si>
    <t>Totale valore base d'asta
IVA esclusa</t>
  </si>
  <si>
    <t>Totale offerta per 24 mesi (traffico standard + eventuale incremento max 20%)
IVA esclusa</t>
  </si>
  <si>
    <t>Totale offerta per 24 mesi (traffico standard + eventuale incremento max 20%)
IVA inclusa</t>
  </si>
  <si>
    <t>Tariffa giornaliera  offerta per il mix di figure professionali impegnate
(IVA esclusa)</t>
  </si>
  <si>
    <t>(d=Σ c1)</t>
  </si>
  <si>
    <t>Totale valore traffico aggiuntivo e presunto (MAX 20%) per 24 mesi
IVA esclusa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</si>
</sst>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4"/>
      <color indexed="4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0"/>
      <color indexed="48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8"/>
      <color theme="1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12" fillId="0" borderId="0" xfId="0" applyFont="1" applyBorder="1" applyProtection="1"/>
    <xf numFmtId="0" fontId="2" fillId="3" borderId="8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44" fontId="3" fillId="3" borderId="2" xfId="0" applyNumberFormat="1" applyFont="1" applyFill="1" applyBorder="1" applyAlignment="1" applyProtection="1">
      <alignment horizontal="right" vertical="center" wrapText="1"/>
    </xf>
    <xf numFmtId="44" fontId="3" fillId="3" borderId="15" xfId="0" applyNumberFormat="1" applyFont="1" applyFill="1" applyBorder="1" applyAlignment="1" applyProtection="1">
      <alignment horizontal="right" vertical="center" wrapText="1"/>
    </xf>
    <xf numFmtId="0" fontId="2" fillId="3" borderId="16" xfId="0" applyFont="1" applyFill="1" applyBorder="1" applyAlignment="1" applyProtection="1">
      <alignment horizontal="left" vertical="center" wrapText="1"/>
    </xf>
    <xf numFmtId="4" fontId="3" fillId="3" borderId="17" xfId="0" applyNumberFormat="1" applyFont="1" applyFill="1" applyBorder="1" applyAlignment="1" applyProtection="1">
      <alignment horizontal="center" vertical="center" wrapText="1"/>
    </xf>
    <xf numFmtId="3" fontId="3" fillId="3" borderId="17" xfId="0" applyNumberFormat="1" applyFont="1" applyFill="1" applyBorder="1" applyAlignment="1" applyProtection="1">
      <alignment horizontal="center" vertical="center" wrapText="1"/>
    </xf>
    <xf numFmtId="44" fontId="3" fillId="3" borderId="17" xfId="0" applyNumberFormat="1" applyFont="1" applyFill="1" applyBorder="1" applyAlignment="1" applyProtection="1">
      <alignment horizontal="right" vertical="center" wrapText="1"/>
    </xf>
    <xf numFmtId="44" fontId="3" fillId="3" borderId="22" xfId="0" applyNumberFormat="1" applyFont="1" applyFill="1" applyBorder="1" applyAlignment="1" applyProtection="1">
      <alignment horizontal="right" vertical="center" wrapText="1"/>
    </xf>
    <xf numFmtId="44" fontId="3" fillId="3" borderId="2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44" fontId="3" fillId="0" borderId="0" xfId="0" applyNumberFormat="1" applyFont="1" applyFill="1" applyBorder="1" applyAlignment="1" applyProtection="1">
      <alignment horizontal="right" vertical="center" wrapText="1"/>
    </xf>
    <xf numFmtId="44" fontId="2" fillId="3" borderId="8" xfId="0" applyNumberFormat="1" applyFont="1" applyFill="1" applyBorder="1" applyAlignment="1" applyProtection="1">
      <alignment horizontal="right" vertical="center" wrapText="1"/>
    </xf>
    <xf numFmtId="44" fontId="2" fillId="0" borderId="9" xfId="0" applyNumberFormat="1" applyFont="1" applyFill="1" applyBorder="1" applyAlignment="1" applyProtection="1">
      <alignment horizontal="right" vertical="center" wrapText="1"/>
    </xf>
    <xf numFmtId="44" fontId="2" fillId="0" borderId="10" xfId="0" applyNumberFormat="1" applyFont="1" applyFill="1" applyBorder="1" applyAlignment="1" applyProtection="1">
      <alignment horizontal="right" vertical="center" wrapText="1"/>
    </xf>
    <xf numFmtId="0" fontId="13" fillId="3" borderId="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 wrapText="1"/>
    </xf>
    <xf numFmtId="4" fontId="3" fillId="3" borderId="9" xfId="0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center" vertical="center" wrapText="1"/>
    </xf>
    <xf numFmtId="44" fontId="3" fillId="3" borderId="9" xfId="0" applyNumberFormat="1" applyFont="1" applyFill="1" applyBorder="1" applyAlignment="1" applyProtection="1">
      <alignment horizontal="right" vertical="center" wrapText="1"/>
    </xf>
    <xf numFmtId="44" fontId="3" fillId="3" borderId="24" xfId="0" applyNumberFormat="1" applyFont="1" applyFill="1" applyBorder="1" applyAlignment="1" applyProtection="1">
      <alignment horizontal="right" vertical="center" wrapText="1"/>
    </xf>
    <xf numFmtId="44" fontId="3" fillId="3" borderId="25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4" fontId="2" fillId="3" borderId="9" xfId="0" applyNumberFormat="1" applyFont="1" applyFill="1" applyBorder="1" applyAlignment="1" applyProtection="1">
      <alignment horizontal="right" vertical="center" wrapText="1"/>
    </xf>
    <xf numFmtId="44" fontId="2" fillId="3" borderId="1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Protection="1"/>
    <xf numFmtId="0" fontId="4" fillId="0" borderId="0" xfId="0" applyFont="1" applyFill="1" applyBorder="1" applyAlignment="1" applyProtection="1">
      <alignment vertical="center" wrapText="1"/>
    </xf>
    <xf numFmtId="44" fontId="4" fillId="3" borderId="8" xfId="0" applyNumberFormat="1" applyFont="1" applyFill="1" applyBorder="1" applyAlignment="1" applyProtection="1">
      <alignment vertical="center" wrapText="1"/>
    </xf>
    <xf numFmtId="44" fontId="4" fillId="3" borderId="9" xfId="0" applyNumberFormat="1" applyFont="1" applyFill="1" applyBorder="1" applyAlignment="1" applyProtection="1">
      <alignment vertical="center" wrapText="1"/>
    </xf>
    <xf numFmtId="44" fontId="4" fillId="3" borderId="10" xfId="0" applyNumberFormat="1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horizontal="righ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vertical="center" wrapText="1"/>
    </xf>
    <xf numFmtId="165" fontId="2" fillId="3" borderId="3" xfId="2" applyNumberFormat="1" applyFont="1" applyFill="1" applyBorder="1" applyAlignment="1" applyProtection="1">
      <alignment horizontal="center" vertical="center"/>
    </xf>
    <xf numFmtId="44" fontId="3" fillId="3" borderId="3" xfId="3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 wrapText="1"/>
    </xf>
    <xf numFmtId="165" fontId="2" fillId="3" borderId="2" xfId="2" applyNumberFormat="1" applyFont="1" applyFill="1" applyBorder="1" applyAlignment="1" applyProtection="1">
      <alignment horizontal="center" vertical="center"/>
    </xf>
    <xf numFmtId="44" fontId="3" fillId="3" borderId="2" xfId="3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vertical="center" wrapText="1"/>
    </xf>
    <xf numFmtId="165" fontId="2" fillId="3" borderId="17" xfId="2" applyNumberFormat="1" applyFont="1" applyFill="1" applyBorder="1" applyAlignment="1" applyProtection="1">
      <alignment horizontal="center" vertical="center"/>
    </xf>
    <xf numFmtId="44" fontId="3" fillId="3" borderId="17" xfId="3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43" fontId="3" fillId="0" borderId="0" xfId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44" fontId="3" fillId="3" borderId="12" xfId="0" applyNumberFormat="1" applyFont="1" applyFill="1" applyBorder="1" applyAlignment="1" applyProtection="1">
      <alignment horizontal="right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3" fontId="3" fillId="3" borderId="12" xfId="0" applyNumberFormat="1" applyFont="1" applyFill="1" applyBorder="1" applyAlignment="1" applyProtection="1">
      <alignment horizontal="center" vertical="center" wrapText="1"/>
    </xf>
    <xf numFmtId="44" fontId="3" fillId="3" borderId="13" xfId="0" applyNumberFormat="1" applyFont="1" applyFill="1" applyBorder="1" applyAlignment="1" applyProtection="1">
      <alignment horizontal="right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44" fontId="11" fillId="3" borderId="17" xfId="0" applyNumberFormat="1" applyFont="1" applyFill="1" applyBorder="1" applyAlignment="1" applyProtection="1">
      <alignment horizontal="right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Protection="1"/>
    <xf numFmtId="49" fontId="12" fillId="2" borderId="0" xfId="0" applyNumberFormat="1" applyFont="1" applyFill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49" fontId="12" fillId="0" borderId="0" xfId="0" applyNumberFormat="1" applyFont="1" applyAlignment="1" applyProtection="1">
      <alignment wrapText="1"/>
    </xf>
    <xf numFmtId="0" fontId="2" fillId="3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164" fontId="13" fillId="3" borderId="9" xfId="0" applyNumberFormat="1" applyFont="1" applyFill="1" applyBorder="1" applyAlignment="1" applyProtection="1">
      <alignment horizontal="center" vertical="center"/>
    </xf>
    <xf numFmtId="44" fontId="13" fillId="3" borderId="9" xfId="3" applyFont="1" applyFill="1" applyBorder="1" applyAlignment="1" applyProtection="1">
      <alignment horizontal="center" vertical="center"/>
    </xf>
    <xf numFmtId="44" fontId="13" fillId="3" borderId="10" xfId="3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wrapText="1"/>
    </xf>
    <xf numFmtId="3" fontId="12" fillId="0" borderId="0" xfId="0" applyNumberFormat="1" applyFont="1" applyProtection="1"/>
    <xf numFmtId="0" fontId="2" fillId="3" borderId="2" xfId="0" applyFont="1" applyFill="1" applyBorder="1" applyAlignment="1" applyProtection="1">
      <alignment horizontal="center" vertical="center" wrapText="1"/>
    </xf>
    <xf numFmtId="9" fontId="3" fillId="3" borderId="2" xfId="2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right" vertical="center"/>
    </xf>
    <xf numFmtId="44" fontId="2" fillId="3" borderId="2" xfId="0" applyNumberFormat="1" applyFont="1" applyFill="1" applyBorder="1" applyAlignment="1" applyProtection="1">
      <alignment horizontal="right" vertical="center" wrapText="1"/>
    </xf>
    <xf numFmtId="9" fontId="2" fillId="3" borderId="2" xfId="2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right" vertical="center"/>
    </xf>
    <xf numFmtId="44" fontId="12" fillId="3" borderId="2" xfId="0" applyNumberFormat="1" applyFont="1" applyFill="1" applyBorder="1" applyProtection="1"/>
    <xf numFmtId="10" fontId="12" fillId="3" borderId="2" xfId="2" applyNumberFormat="1" applyFont="1" applyFill="1" applyBorder="1" applyProtection="1"/>
    <xf numFmtId="10" fontId="12" fillId="0" borderId="0" xfId="0" applyNumberFormat="1" applyFont="1" applyProtection="1"/>
    <xf numFmtId="8" fontId="12" fillId="0" borderId="0" xfId="0" applyNumberFormat="1" applyFont="1" applyProtection="1"/>
    <xf numFmtId="44" fontId="3" fillId="0" borderId="12" xfId="0" applyNumberFormat="1" applyFont="1" applyFill="1" applyBorder="1" applyAlignment="1" applyProtection="1">
      <alignment horizontal="right" vertical="center" wrapText="1"/>
    </xf>
    <xf numFmtId="44" fontId="3" fillId="0" borderId="2" xfId="0" applyNumberFormat="1" applyFont="1" applyFill="1" applyBorder="1" applyAlignment="1" applyProtection="1">
      <alignment horizontal="right" vertical="center" wrapText="1"/>
    </xf>
    <xf numFmtId="44" fontId="3" fillId="0" borderId="22" xfId="0" applyNumberFormat="1" applyFont="1" applyFill="1" applyBorder="1" applyAlignment="1" applyProtection="1">
      <alignment horizontal="right" vertical="center" wrapText="1"/>
    </xf>
    <xf numFmtId="44" fontId="3" fillId="0" borderId="17" xfId="0" applyNumberFormat="1" applyFont="1" applyFill="1" applyBorder="1" applyAlignment="1" applyProtection="1">
      <alignment horizontal="right" vertical="center" wrapText="1"/>
    </xf>
    <xf numFmtId="44" fontId="3" fillId="0" borderId="3" xfId="3" applyFont="1" applyFill="1" applyBorder="1" applyAlignment="1" applyProtection="1">
      <alignment horizontal="center" vertical="center"/>
      <protection locked="0"/>
    </xf>
    <xf numFmtId="44" fontId="3" fillId="0" borderId="2" xfId="3" applyFont="1" applyFill="1" applyBorder="1" applyAlignment="1" applyProtection="1">
      <alignment horizontal="center" vertical="center"/>
      <protection locked="0"/>
    </xf>
    <xf numFmtId="44" fontId="3" fillId="0" borderId="17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4" fontId="12" fillId="0" borderId="0" xfId="0" applyNumberFormat="1" applyFo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left" vertical="center" wrapText="1"/>
    </xf>
    <xf numFmtId="0" fontId="16" fillId="0" borderId="27" xfId="0" applyFont="1" applyBorder="1" applyAlignment="1" applyProtection="1">
      <alignment horizontal="left" vertical="center" wrapText="1"/>
    </xf>
    <xf numFmtId="44" fontId="3" fillId="3" borderId="20" xfId="3" applyFont="1" applyFill="1" applyBorder="1" applyAlignment="1" applyProtection="1">
      <alignment horizontal="center" vertical="center"/>
    </xf>
    <xf numFmtId="44" fontId="3" fillId="3" borderId="15" xfId="3" applyFont="1" applyFill="1" applyBorder="1" applyAlignment="1" applyProtection="1">
      <alignment horizontal="center" vertical="center"/>
    </xf>
    <xf numFmtId="44" fontId="3" fillId="3" borderId="18" xfId="3" applyFont="1" applyFill="1" applyBorder="1" applyAlignment="1" applyProtection="1">
      <alignment horizontal="center" vertical="center"/>
    </xf>
    <xf numFmtId="0" fontId="13" fillId="3" borderId="29" xfId="0" applyFont="1" applyFill="1" applyBorder="1" applyAlignment="1" applyProtection="1">
      <alignment horizontal="left" vertical="center"/>
    </xf>
    <xf numFmtId="0" fontId="13" fillId="3" borderId="3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</cellXfs>
  <cellStyles count="16"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110" zoomScaleNormal="110" zoomScalePageLayoutView="150" workbookViewId="0">
      <selection activeCell="C4" sqref="C4"/>
    </sheetView>
  </sheetViews>
  <sheetFormatPr defaultColWidth="8.7109375" defaultRowHeight="16.5" x14ac:dyDescent="0.3"/>
  <cols>
    <col min="1" max="1" width="28" style="2" customWidth="1"/>
    <col min="2" max="6" width="18.7109375" style="2" customWidth="1"/>
    <col min="7" max="16384" width="8.7109375" style="2"/>
  </cols>
  <sheetData>
    <row r="1" spans="1:6" ht="18.75" x14ac:dyDescent="0.3">
      <c r="A1" s="112" t="s">
        <v>82</v>
      </c>
      <c r="B1" s="113"/>
      <c r="C1" s="113"/>
      <c r="D1" s="113"/>
      <c r="E1" s="113"/>
      <c r="F1" s="114"/>
    </row>
    <row r="2" spans="1:6" ht="90" customHeight="1" x14ac:dyDescent="0.3">
      <c r="A2" s="91" t="s">
        <v>6</v>
      </c>
      <c r="B2" s="91" t="s">
        <v>49</v>
      </c>
      <c r="C2" s="91" t="s">
        <v>52</v>
      </c>
      <c r="D2" s="91" t="s">
        <v>44</v>
      </c>
      <c r="E2" s="91" t="s">
        <v>50</v>
      </c>
      <c r="F2" s="91" t="s">
        <v>53</v>
      </c>
    </row>
    <row r="3" spans="1:6" ht="55.5" customHeight="1" x14ac:dyDescent="0.3">
      <c r="A3" s="91" t="s">
        <v>46</v>
      </c>
      <c r="B3" s="14">
        <f>'ALLEGATO C.2'!K22</f>
        <v>9185040.959999999</v>
      </c>
      <c r="C3" s="14">
        <f>'ALLEGATO C.2'!L22</f>
        <v>0</v>
      </c>
      <c r="D3" s="92">
        <v>0.22</v>
      </c>
      <c r="E3" s="14">
        <f>B3+D3*B3</f>
        <v>11205749.971199999</v>
      </c>
      <c r="F3" s="14">
        <f>C3*(1+D3)</f>
        <v>0</v>
      </c>
    </row>
    <row r="4" spans="1:6" ht="55.5" customHeight="1" x14ac:dyDescent="0.3">
      <c r="A4" s="91" t="s">
        <v>45</v>
      </c>
      <c r="B4" s="14">
        <f>'ALLEGATO C.3'!H12</f>
        <v>9015768</v>
      </c>
      <c r="C4" s="14">
        <f>'ALLEGATO C.3'!I12</f>
        <v>0</v>
      </c>
      <c r="D4" s="92">
        <v>0.22</v>
      </c>
      <c r="E4" s="14">
        <f>B4+D4*B4</f>
        <v>10999236.960000001</v>
      </c>
      <c r="F4" s="14">
        <f>'ALLEGATO C.3'!J12</f>
        <v>0</v>
      </c>
    </row>
    <row r="5" spans="1:6" x14ac:dyDescent="0.3">
      <c r="A5" s="93" t="s">
        <v>9</v>
      </c>
      <c r="B5" s="94">
        <f>SUM(B3:B4)</f>
        <v>18200808.960000001</v>
      </c>
      <c r="C5" s="94">
        <f>SUM(C3:C4)</f>
        <v>0</v>
      </c>
      <c r="D5" s="95">
        <v>0.22</v>
      </c>
      <c r="E5" s="94">
        <f>SUM(E3:E4)</f>
        <v>22204986.931199998</v>
      </c>
      <c r="F5" s="94">
        <f>SUM(F3:F4)</f>
        <v>0</v>
      </c>
    </row>
    <row r="7" spans="1:6" s="62" customFormat="1" x14ac:dyDescent="0.25"/>
    <row r="8" spans="1:6" x14ac:dyDescent="0.3">
      <c r="A8" s="62"/>
      <c r="B8" s="96" t="s">
        <v>88</v>
      </c>
      <c r="C8" s="96" t="s">
        <v>90</v>
      </c>
      <c r="D8" s="96" t="s">
        <v>87</v>
      </c>
    </row>
    <row r="9" spans="1:6" x14ac:dyDescent="0.3">
      <c r="A9" s="97" t="s">
        <v>89</v>
      </c>
      <c r="B9" s="14">
        <f>B5-C5</f>
        <v>18200808.960000001</v>
      </c>
      <c r="C9" s="98">
        <f>E5-F5</f>
        <v>22204986.931199998</v>
      </c>
      <c r="D9" s="99">
        <f>1-(C5/B5)</f>
        <v>1</v>
      </c>
      <c r="E9" s="100"/>
    </row>
    <row r="10" spans="1:6" x14ac:dyDescent="0.3">
      <c r="B10" s="101"/>
      <c r="C10" s="101"/>
    </row>
    <row r="12" spans="1:6" x14ac:dyDescent="0.3">
      <c r="B12" s="101"/>
      <c r="C12" s="101"/>
      <c r="E12" s="100"/>
    </row>
  </sheetData>
  <sheetProtection algorithmName="SHA-512" hashValue="+0Wbrrfz0z3mDrrbCIedjdPojFxipDNmn+ygBlIUdK8R2O6jvEp9rajLoQzUV1vR9pCT0d0QUQS/HTzlCDsWvg==" saltValue="iwYs6Ovnrv7WxdbTcqit5g==" spinCount="100000" sheet="1" objects="1" scenarios="1"/>
  <mergeCells count="1">
    <mergeCell ref="A1:F1"/>
  </mergeCells>
  <phoneticPr fontId="7" type="noConversion"/>
  <pageMargins left="0.7" right="0.7" top="0.75" bottom="0.75" header="0.3" footer="0.3"/>
  <pageSetup paperSize="9"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0" zoomScaleNormal="80" zoomScalePageLayoutView="130" workbookViewId="0">
      <selection activeCell="F5" sqref="F5"/>
    </sheetView>
  </sheetViews>
  <sheetFormatPr defaultColWidth="8.7109375" defaultRowHeight="16.5" x14ac:dyDescent="0.3"/>
  <cols>
    <col min="1" max="1" width="18" style="2" bestFit="1" customWidth="1"/>
    <col min="2" max="2" width="47.7109375" style="80" customWidth="1"/>
    <col min="3" max="3" width="20.7109375" style="89" customWidth="1"/>
    <col min="4" max="13" width="21.42578125" style="2" customWidth="1"/>
    <col min="14" max="14" width="13.42578125" style="2" bestFit="1" customWidth="1"/>
    <col min="15" max="16384" width="8.7109375" style="2"/>
  </cols>
  <sheetData>
    <row r="1" spans="1:13" ht="30" customHeight="1" x14ac:dyDescent="0.3">
      <c r="A1" s="120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30" customHeight="1" thickBot="1" x14ac:dyDescent="0.35">
      <c r="A2" s="122" t="s">
        <v>97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s="62" customFormat="1" ht="75.75" thickBot="1" x14ac:dyDescent="0.3">
      <c r="A3" s="84" t="s">
        <v>5</v>
      </c>
      <c r="B3" s="85" t="s">
        <v>0</v>
      </c>
      <c r="C3" s="85" t="s">
        <v>1</v>
      </c>
      <c r="D3" s="85" t="s">
        <v>65</v>
      </c>
      <c r="E3" s="85" t="s">
        <v>47</v>
      </c>
      <c r="F3" s="85" t="s">
        <v>86</v>
      </c>
      <c r="G3" s="85" t="s">
        <v>98</v>
      </c>
      <c r="H3" s="85" t="s">
        <v>100</v>
      </c>
      <c r="I3" s="85" t="s">
        <v>99</v>
      </c>
      <c r="J3" s="85" t="s">
        <v>106</v>
      </c>
      <c r="K3" s="85" t="s">
        <v>101</v>
      </c>
      <c r="L3" s="85" t="s">
        <v>102</v>
      </c>
      <c r="M3" s="6" t="s">
        <v>103</v>
      </c>
    </row>
    <row r="4" spans="1:13" ht="27" customHeight="1" x14ac:dyDescent="0.3">
      <c r="A4" s="117" t="s">
        <v>2</v>
      </c>
      <c r="B4" s="64" t="s">
        <v>43</v>
      </c>
      <c r="C4" s="64" t="s">
        <v>66</v>
      </c>
      <c r="D4" s="65">
        <v>5</v>
      </c>
      <c r="E4" s="64">
        <v>0.72</v>
      </c>
      <c r="F4" s="102">
        <v>0</v>
      </c>
      <c r="G4" s="66">
        <v>7400000</v>
      </c>
      <c r="H4" s="66">
        <f>G4*0.2</f>
        <v>1480000</v>
      </c>
      <c r="I4" s="64">
        <f>E4*G4</f>
        <v>5328000</v>
      </c>
      <c r="J4" s="64">
        <f>E4*H4</f>
        <v>1065600</v>
      </c>
      <c r="K4" s="64">
        <f>I4+J4</f>
        <v>6393600</v>
      </c>
      <c r="L4" s="64">
        <f>F4*(G4+H4)</f>
        <v>0</v>
      </c>
      <c r="M4" s="67">
        <f>L4*1.22</f>
        <v>0</v>
      </c>
    </row>
    <row r="5" spans="1:13" ht="27" customHeight="1" x14ac:dyDescent="0.3">
      <c r="A5" s="118"/>
      <c r="B5" s="14" t="s">
        <v>67</v>
      </c>
      <c r="C5" s="14" t="s">
        <v>68</v>
      </c>
      <c r="D5" s="12">
        <v>3</v>
      </c>
      <c r="E5" s="14">
        <v>0.6</v>
      </c>
      <c r="F5" s="103">
        <v>0</v>
      </c>
      <c r="G5" s="13">
        <v>80000</v>
      </c>
      <c r="H5" s="13">
        <f t="shared" ref="H5:H19" si="0">G5*0.2</f>
        <v>16000</v>
      </c>
      <c r="I5" s="14">
        <f t="shared" ref="I5:I21" si="1">E5*G5</f>
        <v>48000</v>
      </c>
      <c r="J5" s="14">
        <f t="shared" ref="J5:J21" si="2">E5*H5</f>
        <v>9600</v>
      </c>
      <c r="K5" s="14">
        <f t="shared" ref="K5:K21" si="3">I5+J5</f>
        <v>57600</v>
      </c>
      <c r="L5" s="14">
        <f t="shared" ref="L5:L21" si="4">F5*(G5+H5)</f>
        <v>0</v>
      </c>
      <c r="M5" s="15">
        <f t="shared" ref="M5:M21" si="5">L5*1.22</f>
        <v>0</v>
      </c>
    </row>
    <row r="6" spans="1:13" ht="27" customHeight="1" x14ac:dyDescent="0.3">
      <c r="A6" s="118"/>
      <c r="B6" s="14" t="s">
        <v>75</v>
      </c>
      <c r="C6" s="14" t="s">
        <v>66</v>
      </c>
      <c r="D6" s="68" t="s">
        <v>3</v>
      </c>
      <c r="E6" s="14">
        <v>0.14000000000000001</v>
      </c>
      <c r="F6" s="103">
        <v>0</v>
      </c>
      <c r="G6" s="13">
        <f>((G4+((7/60)*(G4/D4)))*0.7)+(0.7*(G4/D4)*0.1*(90/60))</f>
        <v>5456266.666666667</v>
      </c>
      <c r="H6" s="13">
        <f t="shared" si="0"/>
        <v>1091253.3333333335</v>
      </c>
      <c r="I6" s="14">
        <f t="shared" si="1"/>
        <v>763877.33333333349</v>
      </c>
      <c r="J6" s="14">
        <f t="shared" si="2"/>
        <v>152775.4666666667</v>
      </c>
      <c r="K6" s="14">
        <f t="shared" si="3"/>
        <v>916652.80000000016</v>
      </c>
      <c r="L6" s="14">
        <f t="shared" si="4"/>
        <v>0</v>
      </c>
      <c r="M6" s="15">
        <f t="shared" si="5"/>
        <v>0</v>
      </c>
    </row>
    <row r="7" spans="1:13" ht="27" customHeight="1" x14ac:dyDescent="0.3">
      <c r="A7" s="118"/>
      <c r="B7" s="14" t="s">
        <v>76</v>
      </c>
      <c r="C7" s="14" t="s">
        <v>66</v>
      </c>
      <c r="D7" s="68" t="s">
        <v>3</v>
      </c>
      <c r="E7" s="14">
        <v>0.02</v>
      </c>
      <c r="F7" s="103">
        <v>0</v>
      </c>
      <c r="G7" s="13">
        <f>((G4+((7/60)*(G4/D4)))*0.3)+(0.3*(G4/D4)*0.1*(90/60))</f>
        <v>2338400</v>
      </c>
      <c r="H7" s="13">
        <f t="shared" si="0"/>
        <v>467680</v>
      </c>
      <c r="I7" s="14">
        <f t="shared" si="1"/>
        <v>46768</v>
      </c>
      <c r="J7" s="14">
        <f t="shared" si="2"/>
        <v>9353.6</v>
      </c>
      <c r="K7" s="14">
        <f t="shared" si="3"/>
        <v>56121.599999999999</v>
      </c>
      <c r="L7" s="14">
        <f t="shared" si="4"/>
        <v>0</v>
      </c>
      <c r="M7" s="15">
        <f t="shared" si="5"/>
        <v>0</v>
      </c>
    </row>
    <row r="8" spans="1:13" ht="27" customHeight="1" x14ac:dyDescent="0.3">
      <c r="A8" s="118"/>
      <c r="B8" s="14" t="s">
        <v>69</v>
      </c>
      <c r="C8" s="14" t="s">
        <v>66</v>
      </c>
      <c r="D8" s="68" t="s">
        <v>3</v>
      </c>
      <c r="E8" s="14">
        <v>0.04</v>
      </c>
      <c r="F8" s="103">
        <v>0</v>
      </c>
      <c r="G8" s="13">
        <f>G4</f>
        <v>7400000</v>
      </c>
      <c r="H8" s="13">
        <f t="shared" si="0"/>
        <v>1480000</v>
      </c>
      <c r="I8" s="14">
        <f t="shared" si="1"/>
        <v>296000</v>
      </c>
      <c r="J8" s="14">
        <f t="shared" si="2"/>
        <v>59200</v>
      </c>
      <c r="K8" s="14">
        <f t="shared" si="3"/>
        <v>355200</v>
      </c>
      <c r="L8" s="14">
        <f t="shared" si="4"/>
        <v>0</v>
      </c>
      <c r="M8" s="15">
        <f t="shared" si="5"/>
        <v>0</v>
      </c>
    </row>
    <row r="9" spans="1:13" ht="27" customHeight="1" x14ac:dyDescent="0.3">
      <c r="A9" s="118"/>
      <c r="B9" s="14" t="s">
        <v>70</v>
      </c>
      <c r="C9" s="14" t="s">
        <v>66</v>
      </c>
      <c r="D9" s="68" t="s">
        <v>3</v>
      </c>
      <c r="E9" s="14">
        <v>0.02</v>
      </c>
      <c r="F9" s="103">
        <v>0</v>
      </c>
      <c r="G9" s="13">
        <f>G4</f>
        <v>7400000</v>
      </c>
      <c r="H9" s="13">
        <f t="shared" si="0"/>
        <v>1480000</v>
      </c>
      <c r="I9" s="14">
        <f t="shared" si="1"/>
        <v>148000</v>
      </c>
      <c r="J9" s="14">
        <f t="shared" si="2"/>
        <v>29600</v>
      </c>
      <c r="K9" s="14">
        <f t="shared" si="3"/>
        <v>177600</v>
      </c>
      <c r="L9" s="14">
        <f t="shared" si="4"/>
        <v>0</v>
      </c>
      <c r="M9" s="15">
        <f t="shared" si="5"/>
        <v>0</v>
      </c>
    </row>
    <row r="10" spans="1:13" ht="27" customHeight="1" x14ac:dyDescent="0.3">
      <c r="A10" s="118"/>
      <c r="B10" s="14" t="s">
        <v>41</v>
      </c>
      <c r="C10" s="14" t="s">
        <v>71</v>
      </c>
      <c r="D10" s="68" t="s">
        <v>3</v>
      </c>
      <c r="E10" s="14">
        <v>0.1</v>
      </c>
      <c r="F10" s="103">
        <v>0</v>
      </c>
      <c r="G10" s="13">
        <v>1200000</v>
      </c>
      <c r="H10" s="13">
        <f t="shared" si="0"/>
        <v>240000</v>
      </c>
      <c r="I10" s="14">
        <f t="shared" si="1"/>
        <v>120000</v>
      </c>
      <c r="J10" s="14">
        <f t="shared" si="2"/>
        <v>24000</v>
      </c>
      <c r="K10" s="14">
        <f t="shared" si="3"/>
        <v>144000</v>
      </c>
      <c r="L10" s="14">
        <f t="shared" si="4"/>
        <v>0</v>
      </c>
      <c r="M10" s="15">
        <f t="shared" si="5"/>
        <v>0</v>
      </c>
    </row>
    <row r="11" spans="1:13" ht="27" customHeight="1" thickBot="1" x14ac:dyDescent="0.35">
      <c r="A11" s="119"/>
      <c r="B11" s="20" t="s">
        <v>35</v>
      </c>
      <c r="C11" s="20" t="s">
        <v>37</v>
      </c>
      <c r="D11" s="69" t="s">
        <v>3</v>
      </c>
      <c r="E11" s="20">
        <v>26.5</v>
      </c>
      <c r="F11" s="104">
        <v>0</v>
      </c>
      <c r="G11" s="70">
        <v>11520</v>
      </c>
      <c r="H11" s="70">
        <f t="shared" si="0"/>
        <v>2304</v>
      </c>
      <c r="I11" s="20">
        <f t="shared" si="1"/>
        <v>305280</v>
      </c>
      <c r="J11" s="20">
        <f t="shared" si="2"/>
        <v>61056</v>
      </c>
      <c r="K11" s="20">
        <f t="shared" si="3"/>
        <v>366336</v>
      </c>
      <c r="L11" s="20">
        <f t="shared" si="4"/>
        <v>0</v>
      </c>
      <c r="M11" s="21">
        <f t="shared" si="5"/>
        <v>0</v>
      </c>
    </row>
    <row r="12" spans="1:13" ht="27" customHeight="1" x14ac:dyDescent="0.3">
      <c r="A12" s="117" t="s">
        <v>4</v>
      </c>
      <c r="B12" s="64" t="s">
        <v>43</v>
      </c>
      <c r="C12" s="64" t="s">
        <v>66</v>
      </c>
      <c r="D12" s="65">
        <v>5</v>
      </c>
      <c r="E12" s="64">
        <v>0.72</v>
      </c>
      <c r="F12" s="102">
        <v>0</v>
      </c>
      <c r="G12" s="66">
        <v>105000</v>
      </c>
      <c r="H12" s="66">
        <f t="shared" si="0"/>
        <v>21000</v>
      </c>
      <c r="I12" s="64">
        <f t="shared" si="1"/>
        <v>75600</v>
      </c>
      <c r="J12" s="64">
        <f t="shared" si="2"/>
        <v>15120</v>
      </c>
      <c r="K12" s="64">
        <f t="shared" si="3"/>
        <v>90720</v>
      </c>
      <c r="L12" s="64">
        <f t="shared" si="4"/>
        <v>0</v>
      </c>
      <c r="M12" s="67">
        <f t="shared" si="5"/>
        <v>0</v>
      </c>
    </row>
    <row r="13" spans="1:13" ht="27" customHeight="1" x14ac:dyDescent="0.3">
      <c r="A13" s="118"/>
      <c r="B13" s="14" t="s">
        <v>67</v>
      </c>
      <c r="C13" s="14" t="s">
        <v>68</v>
      </c>
      <c r="D13" s="12">
        <v>3</v>
      </c>
      <c r="E13" s="14">
        <v>0.6</v>
      </c>
      <c r="F13" s="103">
        <v>0</v>
      </c>
      <c r="G13" s="13">
        <v>40000</v>
      </c>
      <c r="H13" s="13">
        <f t="shared" si="0"/>
        <v>8000</v>
      </c>
      <c r="I13" s="14">
        <f t="shared" si="1"/>
        <v>24000</v>
      </c>
      <c r="J13" s="14">
        <f t="shared" si="2"/>
        <v>4800</v>
      </c>
      <c r="K13" s="14">
        <f t="shared" si="3"/>
        <v>28800</v>
      </c>
      <c r="L13" s="14">
        <f t="shared" si="4"/>
        <v>0</v>
      </c>
      <c r="M13" s="15">
        <f t="shared" si="5"/>
        <v>0</v>
      </c>
    </row>
    <row r="14" spans="1:13" ht="27" customHeight="1" x14ac:dyDescent="0.3">
      <c r="A14" s="118"/>
      <c r="B14" s="14" t="s">
        <v>34</v>
      </c>
      <c r="C14" s="14" t="s">
        <v>66</v>
      </c>
      <c r="D14" s="12">
        <v>3.65</v>
      </c>
      <c r="E14" s="14">
        <v>0.6</v>
      </c>
      <c r="F14" s="103">
        <v>0</v>
      </c>
      <c r="G14" s="13">
        <f>30600*D14</f>
        <v>111690</v>
      </c>
      <c r="H14" s="13">
        <f t="shared" si="0"/>
        <v>22338</v>
      </c>
      <c r="I14" s="14">
        <f t="shared" si="1"/>
        <v>67014</v>
      </c>
      <c r="J14" s="14">
        <f t="shared" si="2"/>
        <v>13402.8</v>
      </c>
      <c r="K14" s="14">
        <f t="shared" si="3"/>
        <v>80416.800000000003</v>
      </c>
      <c r="L14" s="14">
        <f t="shared" si="4"/>
        <v>0</v>
      </c>
      <c r="M14" s="15">
        <f t="shared" si="5"/>
        <v>0</v>
      </c>
    </row>
    <row r="15" spans="1:13" ht="27" customHeight="1" x14ac:dyDescent="0.3">
      <c r="A15" s="118"/>
      <c r="B15" s="14" t="s">
        <v>72</v>
      </c>
      <c r="C15" s="14" t="s">
        <v>66</v>
      </c>
      <c r="D15" s="68" t="s">
        <v>3</v>
      </c>
      <c r="E15" s="14">
        <v>0.14000000000000001</v>
      </c>
      <c r="F15" s="103">
        <v>0</v>
      </c>
      <c r="G15" s="13">
        <f>((G12+((7/60)*(G12/D12)))*0.7)</f>
        <v>75215</v>
      </c>
      <c r="H15" s="13">
        <f t="shared" si="0"/>
        <v>15043</v>
      </c>
      <c r="I15" s="14">
        <f t="shared" si="1"/>
        <v>10530.1</v>
      </c>
      <c r="J15" s="14">
        <f t="shared" si="2"/>
        <v>2106.02</v>
      </c>
      <c r="K15" s="14">
        <f t="shared" si="3"/>
        <v>12636.12</v>
      </c>
      <c r="L15" s="14">
        <f t="shared" si="4"/>
        <v>0</v>
      </c>
      <c r="M15" s="15">
        <f t="shared" si="5"/>
        <v>0</v>
      </c>
    </row>
    <row r="16" spans="1:13" ht="27" customHeight="1" x14ac:dyDescent="0.3">
      <c r="A16" s="118"/>
      <c r="B16" s="14" t="s">
        <v>73</v>
      </c>
      <c r="C16" s="14" t="s">
        <v>66</v>
      </c>
      <c r="D16" s="68" t="s">
        <v>3</v>
      </c>
      <c r="E16" s="14">
        <v>0.02</v>
      </c>
      <c r="F16" s="103">
        <v>0</v>
      </c>
      <c r="G16" s="13">
        <f>((G12+((7/60)*(G12/D12)))*0.3)</f>
        <v>32235</v>
      </c>
      <c r="H16" s="13">
        <f t="shared" si="0"/>
        <v>6447</v>
      </c>
      <c r="I16" s="14">
        <f t="shared" si="1"/>
        <v>644.70000000000005</v>
      </c>
      <c r="J16" s="14">
        <f t="shared" si="2"/>
        <v>128.94</v>
      </c>
      <c r="K16" s="14">
        <f t="shared" si="3"/>
        <v>773.6400000000001</v>
      </c>
      <c r="L16" s="14">
        <f t="shared" si="4"/>
        <v>0</v>
      </c>
      <c r="M16" s="15">
        <f t="shared" si="5"/>
        <v>0</v>
      </c>
    </row>
    <row r="17" spans="1:13" ht="27" customHeight="1" x14ac:dyDescent="0.3">
      <c r="A17" s="118"/>
      <c r="B17" s="14" t="s">
        <v>69</v>
      </c>
      <c r="C17" s="14" t="s">
        <v>66</v>
      </c>
      <c r="D17" s="68" t="s">
        <v>3</v>
      </c>
      <c r="E17" s="14">
        <v>0.04</v>
      </c>
      <c r="F17" s="103">
        <v>0</v>
      </c>
      <c r="G17" s="13">
        <f>G12</f>
        <v>105000</v>
      </c>
      <c r="H17" s="13">
        <f t="shared" si="0"/>
        <v>21000</v>
      </c>
      <c r="I17" s="14">
        <f t="shared" si="1"/>
        <v>4200</v>
      </c>
      <c r="J17" s="14">
        <f t="shared" si="2"/>
        <v>840</v>
      </c>
      <c r="K17" s="14">
        <f t="shared" si="3"/>
        <v>5040</v>
      </c>
      <c r="L17" s="14">
        <f t="shared" si="4"/>
        <v>0</v>
      </c>
      <c r="M17" s="15">
        <f t="shared" si="5"/>
        <v>0</v>
      </c>
    </row>
    <row r="18" spans="1:13" ht="27" customHeight="1" x14ac:dyDescent="0.3">
      <c r="A18" s="118"/>
      <c r="B18" s="14" t="s">
        <v>70</v>
      </c>
      <c r="C18" s="14" t="s">
        <v>66</v>
      </c>
      <c r="D18" s="68" t="s">
        <v>3</v>
      </c>
      <c r="E18" s="14">
        <v>0.02</v>
      </c>
      <c r="F18" s="103">
        <v>0</v>
      </c>
      <c r="G18" s="13">
        <f>G12</f>
        <v>105000</v>
      </c>
      <c r="H18" s="13">
        <f t="shared" si="0"/>
        <v>21000</v>
      </c>
      <c r="I18" s="14">
        <f t="shared" si="1"/>
        <v>2100</v>
      </c>
      <c r="J18" s="14">
        <f t="shared" si="2"/>
        <v>420</v>
      </c>
      <c r="K18" s="14">
        <f t="shared" si="3"/>
        <v>2520</v>
      </c>
      <c r="L18" s="14">
        <f t="shared" si="4"/>
        <v>0</v>
      </c>
      <c r="M18" s="15">
        <f t="shared" si="5"/>
        <v>0</v>
      </c>
    </row>
    <row r="19" spans="1:13" ht="27" customHeight="1" thickBot="1" x14ac:dyDescent="0.35">
      <c r="A19" s="119"/>
      <c r="B19" s="20" t="s">
        <v>36</v>
      </c>
      <c r="C19" s="20" t="s">
        <v>37</v>
      </c>
      <c r="D19" s="69" t="s">
        <v>3</v>
      </c>
      <c r="E19" s="20">
        <v>26.5</v>
      </c>
      <c r="F19" s="104">
        <v>0</v>
      </c>
      <c r="G19" s="70">
        <v>7680</v>
      </c>
      <c r="H19" s="70">
        <f t="shared" si="0"/>
        <v>1536</v>
      </c>
      <c r="I19" s="20">
        <f t="shared" si="1"/>
        <v>203520</v>
      </c>
      <c r="J19" s="20">
        <f t="shared" si="2"/>
        <v>40704</v>
      </c>
      <c r="K19" s="20">
        <f t="shared" si="3"/>
        <v>244224</v>
      </c>
      <c r="L19" s="20">
        <f t="shared" si="4"/>
        <v>0</v>
      </c>
      <c r="M19" s="21">
        <f t="shared" si="5"/>
        <v>0</v>
      </c>
    </row>
    <row r="20" spans="1:13" ht="27" customHeight="1" x14ac:dyDescent="0.3">
      <c r="A20" s="63" t="s">
        <v>48</v>
      </c>
      <c r="B20" s="64" t="s">
        <v>38</v>
      </c>
      <c r="C20" s="64" t="s">
        <v>74</v>
      </c>
      <c r="D20" s="71" t="s">
        <v>3</v>
      </c>
      <c r="E20" s="64">
        <v>200</v>
      </c>
      <c r="F20" s="102">
        <v>0</v>
      </c>
      <c r="G20" s="66">
        <v>24</v>
      </c>
      <c r="H20" s="66">
        <v>0</v>
      </c>
      <c r="I20" s="64">
        <f t="shared" si="1"/>
        <v>4800</v>
      </c>
      <c r="J20" s="64">
        <f t="shared" si="2"/>
        <v>0</v>
      </c>
      <c r="K20" s="64">
        <f t="shared" si="3"/>
        <v>4800</v>
      </c>
      <c r="L20" s="64">
        <f>F20*(G20+H20)</f>
        <v>0</v>
      </c>
      <c r="M20" s="67">
        <f t="shared" si="5"/>
        <v>0</v>
      </c>
    </row>
    <row r="21" spans="1:13" ht="27" customHeight="1" thickBot="1" x14ac:dyDescent="0.35">
      <c r="A21" s="72" t="s">
        <v>39</v>
      </c>
      <c r="B21" s="19" t="s">
        <v>42</v>
      </c>
      <c r="C21" s="73" t="s">
        <v>40</v>
      </c>
      <c r="D21" s="74" t="s">
        <v>3</v>
      </c>
      <c r="E21" s="19">
        <v>4000</v>
      </c>
      <c r="F21" s="105">
        <v>0</v>
      </c>
      <c r="G21" s="18">
        <v>62</v>
      </c>
      <c r="H21" s="18">
        <v>0</v>
      </c>
      <c r="I21" s="20">
        <f t="shared" si="1"/>
        <v>248000</v>
      </c>
      <c r="J21" s="20">
        <f t="shared" si="2"/>
        <v>0</v>
      </c>
      <c r="K21" s="20">
        <f t="shared" si="3"/>
        <v>248000</v>
      </c>
      <c r="L21" s="20">
        <f t="shared" si="4"/>
        <v>0</v>
      </c>
      <c r="M21" s="21">
        <f t="shared" si="5"/>
        <v>0</v>
      </c>
    </row>
    <row r="22" spans="1:13" ht="27.75" customHeight="1" thickBot="1" x14ac:dyDescent="0.35">
      <c r="A22" s="75"/>
      <c r="B22" s="26"/>
      <c r="C22" s="26"/>
      <c r="D22" s="76"/>
      <c r="E22" s="26"/>
      <c r="F22" s="1"/>
      <c r="G22" s="25"/>
      <c r="H22" s="25"/>
      <c r="I22" s="27">
        <f>SUM(I4:I21)</f>
        <v>7696334.1333333338</v>
      </c>
      <c r="J22" s="38">
        <f>SUM(J4:J21)</f>
        <v>1488706.8266666669</v>
      </c>
      <c r="K22" s="38">
        <f>SUM(K4:K21)</f>
        <v>9185040.959999999</v>
      </c>
      <c r="L22" s="38">
        <f>SUM(L4:L21)</f>
        <v>0</v>
      </c>
      <c r="M22" s="39">
        <f>SUM(M4:M21)</f>
        <v>0</v>
      </c>
    </row>
    <row r="23" spans="1:13" ht="17.25" thickBot="1" x14ac:dyDescent="0.35">
      <c r="A23" s="77"/>
      <c r="B23" s="78"/>
      <c r="C23" s="79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75.75" thickBot="1" x14ac:dyDescent="0.35">
      <c r="A24" s="80"/>
      <c r="C24" s="4" t="s">
        <v>92</v>
      </c>
      <c r="D24" s="81" t="s">
        <v>93</v>
      </c>
      <c r="E24" s="4" t="s">
        <v>94</v>
      </c>
      <c r="F24" s="81" t="s">
        <v>95</v>
      </c>
      <c r="G24" s="81" t="s">
        <v>51</v>
      </c>
      <c r="H24" s="82" t="s">
        <v>64</v>
      </c>
      <c r="I24" s="83"/>
      <c r="J24" s="83"/>
      <c r="K24" s="83"/>
    </row>
    <row r="25" spans="1:13" ht="27.75" customHeight="1" thickBot="1" x14ac:dyDescent="0.35">
      <c r="A25" s="115" t="s">
        <v>91</v>
      </c>
      <c r="B25" s="116"/>
      <c r="C25" s="86">
        <f>K22-K21</f>
        <v>8937040.959999999</v>
      </c>
      <c r="D25" s="87">
        <f>L22-L21</f>
        <v>0</v>
      </c>
      <c r="E25" s="86">
        <f>K21</f>
        <v>248000</v>
      </c>
      <c r="F25" s="87">
        <f>L21</f>
        <v>0</v>
      </c>
      <c r="G25" s="86">
        <f>C25+E25</f>
        <v>9185040.959999999</v>
      </c>
      <c r="H25" s="88">
        <f>D25+F25</f>
        <v>0</v>
      </c>
      <c r="I25" s="83"/>
      <c r="J25" s="83"/>
      <c r="K25" s="83"/>
    </row>
    <row r="26" spans="1:13" x14ac:dyDescent="0.3">
      <c r="G26" s="90"/>
      <c r="H26" s="90"/>
    </row>
  </sheetData>
  <sheetProtection algorithmName="SHA-512" hashValue="Ot+lJggQ71Y0xidcnH4+0t3IjSflVe9K+fxritesckbGmo2VY33FxBIivrHRZfJaYcehze4XQIpzL3b1+JsAnQ==" saltValue="+F7rPB5OaLoS77o0pNTD1Q==" spinCount="100000" sheet="1" objects="1" scenarios="1"/>
  <protectedRanges>
    <protectedRange sqref="F4:F21" name="Intervallo1"/>
  </protectedRanges>
  <mergeCells count="5">
    <mergeCell ref="A25:B25"/>
    <mergeCell ref="A4:A11"/>
    <mergeCell ref="A12:A19"/>
    <mergeCell ref="A1:M1"/>
    <mergeCell ref="A2:M2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90" zoomScaleNormal="90" zoomScalePageLayoutView="160" workbookViewId="0">
      <selection activeCell="E19" sqref="E19"/>
    </sheetView>
  </sheetViews>
  <sheetFormatPr defaultColWidth="8.7109375" defaultRowHeight="16.5" x14ac:dyDescent="0.3"/>
  <cols>
    <col min="1" max="1" width="17.42578125" style="2" bestFit="1" customWidth="1"/>
    <col min="2" max="2" width="48.42578125" style="2" customWidth="1"/>
    <col min="3" max="10" width="19.28515625" style="2" customWidth="1"/>
    <col min="11" max="12" width="8.7109375" style="2"/>
    <col min="13" max="13" width="16.28515625" style="2" bestFit="1" customWidth="1"/>
    <col min="14" max="16384" width="8.7109375" style="2"/>
  </cols>
  <sheetData>
    <row r="1" spans="1:13" ht="29.25" customHeight="1" x14ac:dyDescent="0.3">
      <c r="A1" s="121" t="s">
        <v>84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3" ht="29.25" customHeight="1" thickBot="1" x14ac:dyDescent="0.35">
      <c r="A2" s="129" t="s">
        <v>97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3" ht="45.75" thickBot="1" x14ac:dyDescent="0.35">
      <c r="A3" s="3"/>
      <c r="B3" s="4" t="s">
        <v>6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54</v>
      </c>
      <c r="I3" s="5" t="s">
        <v>7</v>
      </c>
      <c r="J3" s="6" t="s">
        <v>8</v>
      </c>
    </row>
    <row r="4" spans="1:13" ht="27" customHeight="1" x14ac:dyDescent="0.3">
      <c r="A4" s="7" t="s">
        <v>58</v>
      </c>
      <c r="B4" s="8" t="s">
        <v>15</v>
      </c>
      <c r="C4" s="9" t="s">
        <v>16</v>
      </c>
      <c r="D4" s="9" t="s">
        <v>17</v>
      </c>
      <c r="E4" s="9" t="s">
        <v>18</v>
      </c>
      <c r="F4" s="9" t="s">
        <v>85</v>
      </c>
      <c r="G4" s="9" t="s">
        <v>19</v>
      </c>
      <c r="H4" s="9"/>
      <c r="I4" s="9" t="s">
        <v>20</v>
      </c>
      <c r="J4" s="10" t="s">
        <v>21</v>
      </c>
    </row>
    <row r="5" spans="1:13" ht="27" customHeight="1" x14ac:dyDescent="0.3">
      <c r="A5" s="127" t="s">
        <v>56</v>
      </c>
      <c r="B5" s="11" t="s">
        <v>60</v>
      </c>
      <c r="C5" s="12">
        <v>23</v>
      </c>
      <c r="D5" s="13">
        <v>24</v>
      </c>
      <c r="E5" s="13">
        <v>20</v>
      </c>
      <c r="F5" s="14">
        <f>H19</f>
        <v>0</v>
      </c>
      <c r="G5" s="14">
        <f>C5*E5*F5</f>
        <v>0</v>
      </c>
      <c r="H5" s="14">
        <v>2491176</v>
      </c>
      <c r="I5" s="14">
        <f>C5*D5*E5*F5</f>
        <v>0</v>
      </c>
      <c r="J5" s="15">
        <f>I5*1.22</f>
        <v>0</v>
      </c>
      <c r="M5" s="111"/>
    </row>
    <row r="6" spans="1:13" ht="30" x14ac:dyDescent="0.3">
      <c r="A6" s="127"/>
      <c r="B6" s="11" t="s">
        <v>61</v>
      </c>
      <c r="C6" s="12">
        <v>16</v>
      </c>
      <c r="D6" s="13">
        <v>24</v>
      </c>
      <c r="E6" s="13">
        <v>20</v>
      </c>
      <c r="F6" s="14">
        <f>H19</f>
        <v>0</v>
      </c>
      <c r="G6" s="14">
        <f>C6*E6*F6</f>
        <v>0</v>
      </c>
      <c r="H6" s="14">
        <v>1732992</v>
      </c>
      <c r="I6" s="14">
        <f t="shared" ref="I6:I7" si="0">C6*D6*E6*F6</f>
        <v>0</v>
      </c>
      <c r="J6" s="15">
        <f>I6*1.22</f>
        <v>0</v>
      </c>
      <c r="M6" s="111"/>
    </row>
    <row r="7" spans="1:13" ht="27" customHeight="1" thickBot="1" x14ac:dyDescent="0.35">
      <c r="A7" s="128"/>
      <c r="B7" s="16" t="s">
        <v>59</v>
      </c>
      <c r="C7" s="17">
        <f>15.3</f>
        <v>15.3</v>
      </c>
      <c r="D7" s="18">
        <v>24</v>
      </c>
      <c r="E7" s="18">
        <v>20</v>
      </c>
      <c r="F7" s="19">
        <f>E23</f>
        <v>0</v>
      </c>
      <c r="G7" s="19">
        <f>C7*E7*F7</f>
        <v>0</v>
      </c>
      <c r="H7" s="20">
        <v>1542240.0000000002</v>
      </c>
      <c r="I7" s="20">
        <f t="shared" si="0"/>
        <v>0</v>
      </c>
      <c r="J7" s="21">
        <f>I7*1.22</f>
        <v>0</v>
      </c>
      <c r="M7" s="111"/>
    </row>
    <row r="8" spans="1:13" ht="27" customHeight="1" thickBot="1" x14ac:dyDescent="0.35">
      <c r="A8" s="22"/>
      <c r="B8" s="23"/>
      <c r="C8" s="24">
        <f>SUM(C5:C7)</f>
        <v>54.3</v>
      </c>
      <c r="D8" s="25"/>
      <c r="E8" s="25"/>
      <c r="F8" s="26"/>
      <c r="G8" s="26"/>
      <c r="H8" s="27">
        <v>5766408</v>
      </c>
      <c r="I8" s="28">
        <f>SUM(I5:I7)</f>
        <v>0</v>
      </c>
      <c r="J8" s="29">
        <f>SUM(J5:J7)</f>
        <v>0</v>
      </c>
    </row>
    <row r="9" spans="1:13" ht="45.75" thickBot="1" x14ac:dyDescent="0.35">
      <c r="A9" s="30" t="s">
        <v>57</v>
      </c>
      <c r="B9" s="31" t="s">
        <v>63</v>
      </c>
      <c r="C9" s="32">
        <v>30</v>
      </c>
      <c r="D9" s="33">
        <v>24</v>
      </c>
      <c r="E9" s="33">
        <v>20</v>
      </c>
      <c r="F9" s="34">
        <f>H19</f>
        <v>0</v>
      </c>
      <c r="G9" s="34">
        <f>C9*E9*F9</f>
        <v>0</v>
      </c>
      <c r="H9" s="35">
        <v>3249360</v>
      </c>
      <c r="I9" s="35">
        <f>C9*D9*E9*F9</f>
        <v>0</v>
      </c>
      <c r="J9" s="36">
        <f>I9*1.22</f>
        <v>0</v>
      </c>
    </row>
    <row r="10" spans="1:13" ht="27" customHeight="1" thickBot="1" x14ac:dyDescent="0.35">
      <c r="A10" s="3"/>
      <c r="B10" s="37"/>
      <c r="C10" s="24">
        <f>SUM(C9:C9)</f>
        <v>30</v>
      </c>
      <c r="D10" s="25"/>
      <c r="E10" s="25"/>
      <c r="F10" s="26"/>
      <c r="G10" s="26"/>
      <c r="H10" s="27">
        <v>3249360</v>
      </c>
      <c r="I10" s="38">
        <f>SUM(I9:I9)</f>
        <v>0</v>
      </c>
      <c r="J10" s="39">
        <f>SUM(J9:J9)</f>
        <v>0</v>
      </c>
    </row>
    <row r="11" spans="1:13" ht="27" customHeight="1" thickBot="1" x14ac:dyDescent="0.35">
      <c r="A11" s="3"/>
      <c r="C11" s="40"/>
      <c r="D11" s="41"/>
      <c r="E11" s="41"/>
      <c r="F11" s="41"/>
      <c r="G11" s="41"/>
      <c r="H11" s="41"/>
      <c r="I11" s="41"/>
      <c r="J11" s="40"/>
    </row>
    <row r="12" spans="1:13" ht="27" customHeight="1" thickBot="1" x14ac:dyDescent="0.35">
      <c r="B12" s="109" t="s">
        <v>62</v>
      </c>
      <c r="C12" s="110">
        <f>C8+C10</f>
        <v>84.3</v>
      </c>
      <c r="D12" s="41"/>
      <c r="E12" s="41"/>
      <c r="F12" s="41"/>
      <c r="G12" s="41"/>
      <c r="H12" s="42">
        <v>9015768</v>
      </c>
      <c r="I12" s="43">
        <f>I8+I10</f>
        <v>0</v>
      </c>
      <c r="J12" s="44">
        <f>J8+J10</f>
        <v>0</v>
      </c>
    </row>
    <row r="13" spans="1:13" x14ac:dyDescent="0.3">
      <c r="B13" s="41"/>
      <c r="C13" s="41"/>
      <c r="D13" s="41"/>
      <c r="E13" s="41"/>
      <c r="F13" s="41"/>
      <c r="G13" s="41"/>
      <c r="H13" s="41"/>
      <c r="I13" s="41"/>
    </row>
    <row r="14" spans="1:13" x14ac:dyDescent="0.3">
      <c r="B14" s="2" t="s">
        <v>22</v>
      </c>
    </row>
    <row r="15" spans="1:13" ht="17.25" thickBot="1" x14ac:dyDescent="0.35"/>
    <row r="16" spans="1:13" ht="47.25" customHeight="1" thickBot="1" x14ac:dyDescent="0.35">
      <c r="B16" s="131" t="s">
        <v>96</v>
      </c>
      <c r="C16" s="132"/>
      <c r="D16" s="132"/>
      <c r="E16" s="132"/>
      <c r="F16" s="132"/>
      <c r="G16" s="132"/>
      <c r="H16" s="133"/>
    </row>
    <row r="17" spans="2:9" ht="90" x14ac:dyDescent="0.3">
      <c r="B17" s="45" t="s">
        <v>23</v>
      </c>
      <c r="C17" s="9" t="s">
        <v>24</v>
      </c>
      <c r="D17" s="9" t="s">
        <v>55</v>
      </c>
      <c r="E17" s="9" t="s">
        <v>25</v>
      </c>
      <c r="F17" s="9" t="s">
        <v>77</v>
      </c>
      <c r="G17" s="9" t="s">
        <v>78</v>
      </c>
      <c r="H17" s="10" t="s">
        <v>104</v>
      </c>
      <c r="I17" s="46"/>
    </row>
    <row r="18" spans="2:9" ht="27" customHeight="1" thickBot="1" x14ac:dyDescent="0.35">
      <c r="B18" s="47" t="s">
        <v>15</v>
      </c>
      <c r="C18" s="48" t="s">
        <v>26</v>
      </c>
      <c r="D18" s="48" t="s">
        <v>27</v>
      </c>
      <c r="E18" s="48" t="s">
        <v>80</v>
      </c>
      <c r="F18" s="48" t="s">
        <v>79</v>
      </c>
      <c r="G18" s="48" t="s">
        <v>81</v>
      </c>
      <c r="H18" s="49" t="s">
        <v>105</v>
      </c>
      <c r="I18" s="46"/>
    </row>
    <row r="19" spans="2:9" ht="27" customHeight="1" x14ac:dyDescent="0.3">
      <c r="B19" s="50" t="s">
        <v>28</v>
      </c>
      <c r="C19" s="51">
        <v>0.05</v>
      </c>
      <c r="D19" s="52">
        <v>280</v>
      </c>
      <c r="E19" s="106">
        <v>0</v>
      </c>
      <c r="F19" s="52">
        <f>D19*C19</f>
        <v>14</v>
      </c>
      <c r="G19" s="52">
        <f t="shared" ref="G19:G24" si="1">C19*E19</f>
        <v>0</v>
      </c>
      <c r="H19" s="124">
        <f>SUM(G19:G24)</f>
        <v>0</v>
      </c>
      <c r="I19" s="111"/>
    </row>
    <row r="20" spans="2:9" ht="27" customHeight="1" x14ac:dyDescent="0.3">
      <c r="B20" s="53" t="s">
        <v>29</v>
      </c>
      <c r="C20" s="54">
        <v>0.2</v>
      </c>
      <c r="D20" s="55">
        <v>250</v>
      </c>
      <c r="E20" s="107">
        <v>0</v>
      </c>
      <c r="F20" s="55">
        <f>D20*C20</f>
        <v>50</v>
      </c>
      <c r="G20" s="55">
        <f>C20*E20</f>
        <v>0</v>
      </c>
      <c r="H20" s="125"/>
    </row>
    <row r="21" spans="2:9" ht="27" customHeight="1" x14ac:dyDescent="0.3">
      <c r="B21" s="53" t="s">
        <v>30</v>
      </c>
      <c r="C21" s="54">
        <v>0.13</v>
      </c>
      <c r="D21" s="55">
        <v>235</v>
      </c>
      <c r="E21" s="107">
        <v>0</v>
      </c>
      <c r="F21" s="55">
        <f>D21*C21</f>
        <v>30.55</v>
      </c>
      <c r="G21" s="55">
        <f>C21*E21</f>
        <v>0</v>
      </c>
      <c r="H21" s="125"/>
    </row>
    <row r="22" spans="2:9" ht="27" customHeight="1" x14ac:dyDescent="0.3">
      <c r="B22" s="53" t="s">
        <v>31</v>
      </c>
      <c r="C22" s="54">
        <v>7.0000000000000007E-2</v>
      </c>
      <c r="D22" s="55">
        <v>255</v>
      </c>
      <c r="E22" s="107">
        <v>0</v>
      </c>
      <c r="F22" s="55">
        <f>D22*C22</f>
        <v>17.850000000000001</v>
      </c>
      <c r="G22" s="55">
        <f>C22*E22</f>
        <v>0</v>
      </c>
      <c r="H22" s="125"/>
    </row>
    <row r="23" spans="2:9" ht="27" customHeight="1" x14ac:dyDescent="0.3">
      <c r="B23" s="53" t="s">
        <v>32</v>
      </c>
      <c r="C23" s="54">
        <v>0.5</v>
      </c>
      <c r="D23" s="55">
        <v>210</v>
      </c>
      <c r="E23" s="107">
        <v>0</v>
      </c>
      <c r="F23" s="55">
        <f>D23*C23</f>
        <v>105</v>
      </c>
      <c r="G23" s="55">
        <f>C23*E23</f>
        <v>0</v>
      </c>
      <c r="H23" s="125"/>
    </row>
    <row r="24" spans="2:9" ht="27" customHeight="1" thickBot="1" x14ac:dyDescent="0.35">
      <c r="B24" s="56" t="s">
        <v>33</v>
      </c>
      <c r="C24" s="57">
        <v>0.05</v>
      </c>
      <c r="D24" s="58">
        <v>165</v>
      </c>
      <c r="E24" s="108">
        <v>0</v>
      </c>
      <c r="F24" s="58">
        <f t="shared" ref="F24" si="2">D24*C24</f>
        <v>8.25</v>
      </c>
      <c r="G24" s="58">
        <f t="shared" si="1"/>
        <v>0</v>
      </c>
      <c r="H24" s="126"/>
    </row>
    <row r="25" spans="2:9" x14ac:dyDescent="0.3">
      <c r="B25" s="59"/>
      <c r="C25" s="60"/>
      <c r="D25" s="61"/>
      <c r="E25" s="61"/>
      <c r="F25" s="61"/>
      <c r="G25" s="3"/>
    </row>
  </sheetData>
  <sheetProtection algorithmName="SHA-512" hashValue="0gsMFeybZ+JQJFot7qEb7lKWKUh3At4gmkWprvXL/iSvRJZZxjTBL+kRP7g+r+oJP3RJhcdBL3751LLBm3VEVA==" saltValue="Fmx/eHnfqXjCzSHUPC9aYA==" spinCount="100000" sheet="1" objects="1" scenarios="1"/>
  <mergeCells count="5">
    <mergeCell ref="H19:H24"/>
    <mergeCell ref="A1:J1"/>
    <mergeCell ref="A5:A7"/>
    <mergeCell ref="A2:J2"/>
    <mergeCell ref="B16:H16"/>
  </mergeCells>
  <pageMargins left="0.7" right="0.7" top="0.75" bottom="0.75" header="0.3" footer="0.3"/>
  <pageSetup paperSize="9"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ALLEGATO C.1</vt:lpstr>
      <vt:lpstr>ALLEGATO C.2</vt:lpstr>
      <vt:lpstr>ALLEGATO C.3</vt:lpstr>
      <vt:lpstr>'ALLEGATO C.1'!Area_stampa</vt:lpstr>
      <vt:lpstr>'ALLEGATO C.2'!Area_stampa</vt:lpstr>
      <vt:lpstr>'ALLEGATO C.3'!Area_stampa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Telesca Vincenzo</cp:lastModifiedBy>
  <cp:lastPrinted>2018-06-22T10:26:27Z</cp:lastPrinted>
  <dcterms:created xsi:type="dcterms:W3CDTF">1899-12-29T23:00:00Z</dcterms:created>
  <dcterms:modified xsi:type="dcterms:W3CDTF">2019-04-23T14:26:35Z</dcterms:modified>
</cp:coreProperties>
</file>