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chivio-2_da 210407\4a_Provv\00_gare SUARB\gara SUARB tesoreria\"/>
    </mc:Choice>
  </mc:AlternateContent>
  <bookViews>
    <workbookView xWindow="0" yWindow="0" windowWidth="19200" windowHeight="10860"/>
  </bookViews>
  <sheets>
    <sheet name="calcolo" sheetId="2" r:id="rId1"/>
    <sheet name="storico" sheetId="1" r:id="rId2"/>
  </sheets>
  <definedNames>
    <definedName name="_xlnm.Print_Area" localSheetId="0">calcolo!$A$1:$H$31</definedName>
    <definedName name="_xlnm.Print_Area" localSheetId="1">storico!$A$1:$G$44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2" l="1"/>
  <c r="C28" i="2"/>
  <c r="C25" i="2"/>
  <c r="C21" i="2"/>
  <c r="H19" i="2" l="1"/>
  <c r="G19" i="2"/>
  <c r="E19" i="2"/>
  <c r="D19" i="2" l="1"/>
  <c r="D30" i="2" s="1"/>
  <c r="D31" i="2" s="1"/>
  <c r="H30" i="2"/>
  <c r="H31" i="2" s="1"/>
  <c r="E27" i="2" l="1"/>
  <c r="G27" i="2"/>
  <c r="E24" i="2"/>
  <c r="G24" i="2"/>
  <c r="H22" i="2"/>
  <c r="E22" i="2"/>
  <c r="G22" i="2"/>
  <c r="D22" i="2"/>
  <c r="H21" i="2"/>
  <c r="G20" i="2"/>
  <c r="D21" i="2"/>
  <c r="D20" i="2" s="1"/>
  <c r="C18" i="2"/>
  <c r="C30" i="2" s="1"/>
  <c r="G30" i="2" l="1"/>
  <c r="G31" i="2" s="1"/>
  <c r="C27" i="2"/>
  <c r="C19" i="2"/>
  <c r="C24" i="2"/>
  <c r="C23" i="2"/>
  <c r="H20" i="2"/>
  <c r="E20" i="2"/>
  <c r="C20" i="2" s="1"/>
  <c r="E30" i="2" l="1"/>
  <c r="E31" i="2" s="1"/>
  <c r="E3" i="2"/>
  <c r="C31" i="2" l="1"/>
  <c r="I31" i="2" s="1"/>
  <c r="I30" i="2"/>
  <c r="E21" i="1"/>
  <c r="D21" i="1"/>
  <c r="G21" i="1"/>
  <c r="G10" i="1"/>
  <c r="G20" i="1" l="1"/>
  <c r="G19" i="1"/>
  <c r="G9" i="1"/>
  <c r="G8" i="1"/>
  <c r="D7" i="2" l="1"/>
  <c r="E7" i="2" s="1"/>
  <c r="H6" i="2" l="1"/>
  <c r="D4" i="2"/>
  <c r="E4" i="2" s="1"/>
  <c r="D5" i="2"/>
  <c r="E5" i="2" s="1"/>
  <c r="D8" i="2"/>
  <c r="E8" i="2" s="1"/>
  <c r="D10" i="2"/>
  <c r="E10" i="2" s="1"/>
  <c r="E15" i="2" l="1"/>
  <c r="D12" i="2"/>
  <c r="C19" i="1"/>
  <c r="C31" i="1"/>
  <c r="G11" i="1"/>
  <c r="C5" i="1"/>
  <c r="G5" i="1" s="1"/>
  <c r="E12" i="2" l="1"/>
  <c r="D19" i="1" l="1"/>
  <c r="D42" i="1"/>
  <c r="H42" i="1"/>
  <c r="D22" i="1" l="1"/>
  <c r="E41" i="1"/>
  <c r="E31" i="1"/>
  <c r="D43" i="1" l="1"/>
  <c r="D33" i="1"/>
  <c r="G33" i="1" s="1"/>
  <c r="G43" i="1"/>
  <c r="G42" i="1"/>
  <c r="G32" i="1"/>
  <c r="G22" i="1" l="1"/>
  <c r="D40" i="1" l="1"/>
  <c r="D30" i="1"/>
  <c r="C38" i="1" l="1"/>
  <c r="C37" i="1"/>
  <c r="C27" i="1"/>
  <c r="C28" i="1"/>
  <c r="C30" i="1"/>
  <c r="C29" i="1"/>
  <c r="G40" i="1"/>
  <c r="G30" i="1" l="1"/>
  <c r="G37" i="1"/>
  <c r="C16" i="1"/>
  <c r="G16" i="1" l="1"/>
  <c r="F27" i="1"/>
  <c r="G27" i="1" s="1"/>
</calcChain>
</file>

<file path=xl/comments1.xml><?xml version="1.0" encoding="utf-8"?>
<comments xmlns="http://schemas.openxmlformats.org/spreadsheetml/2006/main">
  <authors>
    <author>MANCUSI VINCENZO</author>
    <author>Raffaele Giordano</author>
  </authors>
  <commentList>
    <comment ref="D16" authorId="0" shapeId="0">
      <text>
        <r>
          <rPr>
            <b/>
            <sz val="9"/>
            <color indexed="81"/>
            <rFont val="Tahoma"/>
            <family val="2"/>
          </rPr>
          <t>MANCUSI VINCENZO:</t>
        </r>
        <r>
          <rPr>
            <sz val="9"/>
            <color indexed="81"/>
            <rFont val="Tahoma"/>
            <family val="2"/>
          </rPr>
          <t xml:space="preserve">
Calcolato su costi nuova convenzione 2024</t>
        </r>
      </text>
    </comment>
    <comment ref="C19" authorId="1" shapeId="0">
      <text>
        <r>
          <rPr>
            <b/>
            <sz val="9"/>
            <color indexed="81"/>
            <rFont val="Tahoma"/>
            <family val="2"/>
          </rPr>
          <t>Raffaele Giordano:</t>
        </r>
        <r>
          <rPr>
            <sz val="9"/>
            <color indexed="81"/>
            <rFont val="Tahoma"/>
            <family val="2"/>
          </rPr>
          <t xml:space="preserve">
POS €.15,00 + IVA
POS-pagoPA €.15,75 + IVA</t>
        </r>
      </text>
    </comment>
    <comment ref="D19" authorId="1" shapeId="0">
      <text>
        <r>
          <rPr>
            <b/>
            <sz val="9"/>
            <color indexed="81"/>
            <rFont val="Tahoma"/>
            <family val="2"/>
          </rPr>
          <t>Raffaele Giordano:</t>
        </r>
        <r>
          <rPr>
            <sz val="9"/>
            <color indexed="81"/>
            <rFont val="Tahoma"/>
            <family val="2"/>
          </rPr>
          <t xml:space="preserve">
POS €.10 + IVA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</rPr>
          <t>MANCUSI VINCENZO:</t>
        </r>
        <r>
          <rPr>
            <sz val="9"/>
            <color indexed="81"/>
            <rFont val="Tahoma"/>
            <family val="2"/>
          </rPr>
          <t xml:space="preserve">
Calcolato con costi nuova convenzione 2024</t>
        </r>
      </text>
    </comment>
    <comment ref="C27" authorId="1" shapeId="0">
      <text>
        <r>
          <rPr>
            <b/>
            <sz val="9"/>
            <color indexed="81"/>
            <rFont val="Tahoma"/>
            <family val="2"/>
          </rPr>
          <t>Raffaele Giordano:</t>
        </r>
        <r>
          <rPr>
            <sz val="9"/>
            <color indexed="81"/>
            <rFont val="Tahoma"/>
            <family val="2"/>
          </rPr>
          <t xml:space="preserve">
da 28.11.23 nuovo contratto;
stima interpolazione costi gen-nov /331*365</t>
        </r>
      </text>
    </comment>
    <comment ref="C28" authorId="1" shapeId="0">
      <text>
        <r>
          <rPr>
            <b/>
            <sz val="9"/>
            <color indexed="81"/>
            <rFont val="Tahoma"/>
            <family val="2"/>
          </rPr>
          <t>Raffaele Giordano:</t>
        </r>
        <r>
          <rPr>
            <sz val="9"/>
            <color indexed="81"/>
            <rFont val="Tahoma"/>
            <family val="2"/>
          </rPr>
          <t xml:space="preserve">
da 28.11.23 nuovo contratto;
stima interpolazione costi gen-nov €.5441 /331*365</t>
        </r>
      </text>
    </comment>
    <comment ref="C29" authorId="1" shapeId="0">
      <text>
        <r>
          <rPr>
            <b/>
            <sz val="9"/>
            <color indexed="81"/>
            <rFont val="Tahoma"/>
            <family val="2"/>
          </rPr>
          <t>Raffaele Giordano:</t>
        </r>
        <r>
          <rPr>
            <sz val="9"/>
            <color indexed="81"/>
            <rFont val="Tahoma"/>
            <family val="2"/>
          </rPr>
          <t xml:space="preserve">
da 28.11.23 nuovo contratto;
stima interpolazione costi gen-nov €.46.956 /331*365</t>
        </r>
      </text>
    </comment>
  </commentList>
</comments>
</file>

<file path=xl/sharedStrings.xml><?xml version="1.0" encoding="utf-8"?>
<sst xmlns="http://schemas.openxmlformats.org/spreadsheetml/2006/main" count="147" uniqueCount="72">
  <si>
    <t>AOR</t>
  </si>
  <si>
    <t>ASP</t>
  </si>
  <si>
    <t>ASM</t>
  </si>
  <si>
    <t>CROB</t>
  </si>
  <si>
    <t>u.m.</t>
  </si>
  <si>
    <t>Euro</t>
  </si>
  <si>
    <t>Anno 2023</t>
  </si>
  <si>
    <t>Anno 2022</t>
  </si>
  <si>
    <t>TOTALE</t>
  </si>
  <si>
    <t>canone</t>
  </si>
  <si>
    <t>tramitazione SIOPE (se distinto)</t>
  </si>
  <si>
    <t>canoni POS</t>
  </si>
  <si>
    <t>commissioni POS</t>
  </si>
  <si>
    <t>commissioni su ordinativi</t>
  </si>
  <si>
    <t>voce (netto IVA)</t>
  </si>
  <si>
    <t>Ricariche</t>
  </si>
  <si>
    <t>Ricariche ( costo unitario €.2 ricarica)</t>
  </si>
  <si>
    <t>Card Celiaci(Sostituzioni card per tutti i celiaci e prime emissioni)</t>
  </si>
  <si>
    <t>Card Celiaci(Sostituzioni e prime emissioni annauli)</t>
  </si>
  <si>
    <t>Card Celiaci(Sostituzioni e prime emissioni annauli costo unitario 8)</t>
  </si>
  <si>
    <t>Totale</t>
  </si>
  <si>
    <t>commissioni POS - costo annuo</t>
  </si>
  <si>
    <t>Anno 2024</t>
  </si>
  <si>
    <t>costo unitario massimo</t>
  </si>
  <si>
    <t>costo unitario massivo</t>
  </si>
  <si>
    <t>al costo unitario di max € 10</t>
  </si>
  <si>
    <t>nr.POS e POS-PagoPA</t>
  </si>
  <si>
    <t>valore indicativo annuo</t>
  </si>
  <si>
    <t>canone annuale complessivo</t>
  </si>
  <si>
    <t>Descrizione</t>
  </si>
  <si>
    <t>componente</t>
  </si>
  <si>
    <t>Ricariche su card prepagate
(valore indicativo)</t>
  </si>
  <si>
    <t>TOTALI</t>
  </si>
  <si>
    <t>durata</t>
  </si>
  <si>
    <t>durata totale</t>
  </si>
  <si>
    <t>durata contratto</t>
  </si>
  <si>
    <t>opzione proroga</t>
  </si>
  <si>
    <t>nr.anni</t>
  </si>
  <si>
    <t>opzione proroga tecnica</t>
  </si>
  <si>
    <t xml:space="preserve">Costo annuale del servizio </t>
  </si>
  <si>
    <t>Emissione consegna e gestione card ricaricabili prepagate
(valore indicativo)</t>
  </si>
  <si>
    <t>base d'asta valori annui</t>
  </si>
  <si>
    <t>importo complessivo annuale</t>
  </si>
  <si>
    <t>importo complessivo di gara</t>
  </si>
  <si>
    <t>canoni POS - costo annuo</t>
  </si>
  <si>
    <t>previsioni</t>
  </si>
  <si>
    <t>Canone mensile su ogni POS installato e attivato
(valore indicativo)</t>
  </si>
  <si>
    <t>Commissioni sui POS utilizzati
(valore indicativo)</t>
  </si>
  <si>
    <t>nr.card - previsioni</t>
  </si>
  <si>
    <t>nr ricariche - previsioni</t>
  </si>
  <si>
    <t>interessi anticipazione tesoreria
(valore indicativo)</t>
  </si>
  <si>
    <t>Prospetto dati storici e previsioni per base d'asta</t>
  </si>
  <si>
    <t>interessi</t>
  </si>
  <si>
    <t>POS - canoni</t>
  </si>
  <si>
    <t>POS - commissioni</t>
  </si>
  <si>
    <t>nr</t>
  </si>
  <si>
    <t>ricariche card</t>
  </si>
  <si>
    <t>IVA</t>
  </si>
  <si>
    <t>voci imponibili IVA</t>
  </si>
  <si>
    <t>TOT</t>
  </si>
  <si>
    <t>voce</t>
  </si>
  <si>
    <t>NOTE - criteri scomposizione</t>
  </si>
  <si>
    <t>prezzo unitario</t>
  </si>
  <si>
    <t>ck</t>
  </si>
  <si>
    <t>valore base annuo</t>
  </si>
  <si>
    <t>valore base 5 anni</t>
  </si>
  <si>
    <t>pro-quota cfr fido (% OP 2024)</t>
  </si>
  <si>
    <t>stima fabbisogni specifici</t>
  </si>
  <si>
    <t>emissioni nuove card</t>
  </si>
  <si>
    <t>Card (nuove emissioni annuali costo unitario 8)</t>
  </si>
  <si>
    <t>corrente</t>
  </si>
  <si>
    <t>canoni correnti arrotondati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</si>
</sst>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_-;\-* #,##0_-;_-* &quot;-&quot;??_-;_-@_-"/>
    <numFmt numFmtId="166" formatCode="#,##0.00_ ;\-#,##0.00\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i/>
      <sz val="10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0" fillId="0" borderId="0" xfId="1" applyNumberFormat="1" applyFont="1" applyAlignment="1">
      <alignment horizontal="right" vertical="center"/>
    </xf>
    <xf numFmtId="165" fontId="0" fillId="0" borderId="0" xfId="1" applyNumberFormat="1" applyFont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165" fontId="3" fillId="3" borderId="1" xfId="1" applyNumberFormat="1" applyFont="1" applyFill="1" applyBorder="1" applyAlignment="1">
      <alignment horizontal="center" vertical="center" wrapText="1"/>
    </xf>
    <xf numFmtId="165" fontId="5" fillId="3" borderId="5" xfId="1" applyNumberFormat="1" applyFont="1" applyFill="1" applyBorder="1" applyAlignment="1">
      <alignment horizontal="right" vertical="center" wrapText="1"/>
    </xf>
    <xf numFmtId="0" fontId="5" fillId="4" borderId="6" xfId="0" applyFont="1" applyFill="1" applyBorder="1" applyAlignment="1">
      <alignment horizontal="right" vertical="center" wrapText="1"/>
    </xf>
    <xf numFmtId="0" fontId="5" fillId="4" borderId="6" xfId="0" applyFont="1" applyFill="1" applyBorder="1" applyAlignment="1">
      <alignment horizontal="center" vertical="center" wrapText="1"/>
    </xf>
    <xf numFmtId="165" fontId="5" fillId="4" borderId="6" xfId="1" applyNumberFormat="1" applyFont="1" applyFill="1" applyBorder="1" applyAlignment="1">
      <alignment horizontal="right" vertical="center" wrapText="1"/>
    </xf>
    <xf numFmtId="165" fontId="3" fillId="4" borderId="6" xfId="1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 wrapText="1"/>
    </xf>
    <xf numFmtId="4" fontId="10" fillId="0" borderId="3" xfId="1" applyNumberFormat="1" applyFont="1" applyBorder="1" applyAlignment="1">
      <alignment vertical="center" wrapText="1"/>
    </xf>
    <xf numFmtId="4" fontId="10" fillId="0" borderId="4" xfId="2" applyNumberFormat="1" applyFont="1" applyBorder="1" applyAlignment="1">
      <alignment vertical="center" wrapText="1"/>
    </xf>
    <xf numFmtId="3" fontId="10" fillId="0" borderId="3" xfId="1" applyNumberFormat="1" applyFont="1" applyBorder="1" applyAlignment="1">
      <alignment vertical="center" wrapText="1"/>
    </xf>
    <xf numFmtId="3" fontId="10" fillId="0" borderId="3" xfId="0" applyNumberFormat="1" applyFont="1" applyBorder="1" applyAlignment="1">
      <alignment horizontal="right" vertical="center" wrapText="1"/>
    </xf>
    <xf numFmtId="3" fontId="10" fillId="0" borderId="3" xfId="1" applyNumberFormat="1" applyFont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43" fontId="10" fillId="0" borderId="1" xfId="1" applyFont="1" applyBorder="1" applyAlignment="1">
      <alignment vertical="center" wrapText="1"/>
    </xf>
    <xf numFmtId="43" fontId="10" fillId="0" borderId="3" xfId="1" applyFont="1" applyBorder="1" applyAlignment="1">
      <alignment vertical="center" wrapText="1"/>
    </xf>
    <xf numFmtId="165" fontId="3" fillId="3" borderId="2" xfId="1" applyNumberFormat="1" applyFont="1" applyFill="1" applyBorder="1" applyAlignment="1">
      <alignment vertical="center" wrapText="1"/>
    </xf>
    <xf numFmtId="165" fontId="3" fillId="3" borderId="1" xfId="1" applyNumberFormat="1" applyFont="1" applyFill="1" applyBorder="1" applyAlignment="1">
      <alignment vertical="center" wrapText="1"/>
    </xf>
    <xf numFmtId="4" fontId="10" fillId="0" borderId="1" xfId="1" applyNumberFormat="1" applyFont="1" applyBorder="1" applyAlignment="1">
      <alignment vertical="center"/>
    </xf>
    <xf numFmtId="43" fontId="10" fillId="0" borderId="1" xfId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4" fontId="10" fillId="0" borderId="1" xfId="2" applyNumberFormat="1" applyFont="1" applyFill="1" applyBorder="1" applyAlignment="1">
      <alignment vertical="center" wrapText="1"/>
    </xf>
    <xf numFmtId="43" fontId="10" fillId="0" borderId="1" xfId="1" applyFont="1" applyFill="1" applyBorder="1" applyAlignment="1">
      <alignment vertical="center" wrapText="1"/>
    </xf>
    <xf numFmtId="0" fontId="10" fillId="0" borderId="8" xfId="0" applyFont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164" fontId="10" fillId="0" borderId="0" xfId="0" applyNumberFormat="1" applyFont="1" applyAlignment="1">
      <alignment vertical="center"/>
    </xf>
    <xf numFmtId="0" fontId="10" fillId="7" borderId="0" xfId="0" applyFont="1" applyFill="1" applyAlignment="1">
      <alignment vertical="center"/>
    </xf>
    <xf numFmtId="0" fontId="12" fillId="7" borderId="0" xfId="0" applyFont="1" applyFill="1" applyAlignment="1">
      <alignment vertical="center"/>
    </xf>
    <xf numFmtId="43" fontId="12" fillId="7" borderId="9" xfId="1" applyFont="1" applyFill="1" applyBorder="1" applyAlignment="1">
      <alignment vertical="center"/>
    </xf>
    <xf numFmtId="9" fontId="0" fillId="0" borderId="0" xfId="3" applyFont="1" applyAlignment="1">
      <alignment horizontal="right" vertical="center"/>
    </xf>
    <xf numFmtId="43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43" fontId="10" fillId="0" borderId="2" xfId="1" applyFont="1" applyBorder="1" applyAlignment="1">
      <alignment horizontal="center" vertical="center" wrapText="1"/>
    </xf>
    <xf numFmtId="43" fontId="10" fillId="0" borderId="4" xfId="1" applyFont="1" applyBorder="1" applyAlignment="1">
      <alignment horizontal="center" vertical="center" wrapText="1"/>
    </xf>
    <xf numFmtId="43" fontId="10" fillId="0" borderId="2" xfId="1" applyFont="1" applyFill="1" applyBorder="1" applyAlignment="1">
      <alignment vertical="center" wrapText="1"/>
    </xf>
    <xf numFmtId="43" fontId="10" fillId="0" borderId="4" xfId="1" applyFont="1" applyFill="1" applyBorder="1" applyAlignment="1">
      <alignment vertical="center" wrapText="1"/>
    </xf>
    <xf numFmtId="43" fontId="10" fillId="0" borderId="4" xfId="1" applyFont="1" applyBorder="1" applyAlignment="1">
      <alignment vertical="center" wrapText="1"/>
    </xf>
    <xf numFmtId="43" fontId="10" fillId="0" borderId="3" xfId="1" applyFont="1" applyBorder="1" applyAlignment="1">
      <alignment vertical="center" wrapText="1"/>
    </xf>
    <xf numFmtId="165" fontId="3" fillId="3" borderId="2" xfId="1" applyNumberFormat="1" applyFont="1" applyFill="1" applyBorder="1" applyAlignment="1">
      <alignment horizontal="center" vertical="center" wrapText="1"/>
    </xf>
    <xf numFmtId="165" fontId="3" fillId="3" borderId="4" xfId="1" applyNumberFormat="1" applyFont="1" applyFill="1" applyBorder="1" applyAlignment="1">
      <alignment horizontal="center" vertical="center" wrapText="1"/>
    </xf>
    <xf numFmtId="165" fontId="3" fillId="2" borderId="2" xfId="1" applyNumberFormat="1" applyFont="1" applyFill="1" applyBorder="1" applyAlignment="1">
      <alignment horizontal="center" vertical="center" wrapText="1"/>
    </xf>
    <xf numFmtId="165" fontId="3" fillId="2" borderId="3" xfId="1" applyNumberFormat="1" applyFont="1" applyFill="1" applyBorder="1" applyAlignment="1">
      <alignment horizontal="center" vertical="center" wrapText="1"/>
    </xf>
    <xf numFmtId="165" fontId="3" fillId="2" borderId="4" xfId="1" applyNumberFormat="1" applyFont="1" applyFill="1" applyBorder="1" applyAlignment="1">
      <alignment horizontal="center" vertical="center" wrapText="1"/>
    </xf>
    <xf numFmtId="165" fontId="5" fillId="2" borderId="2" xfId="1" applyNumberFormat="1" applyFont="1" applyFill="1" applyBorder="1" applyAlignment="1">
      <alignment horizontal="center" vertical="center" wrapText="1"/>
    </xf>
    <xf numFmtId="165" fontId="5" fillId="2" borderId="3" xfId="1" applyNumberFormat="1" applyFont="1" applyFill="1" applyBorder="1" applyAlignment="1">
      <alignment horizontal="center" vertical="center" wrapText="1"/>
    </xf>
    <xf numFmtId="165" fontId="5" fillId="2" borderId="4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right" vertical="center"/>
    </xf>
    <xf numFmtId="0" fontId="12" fillId="5" borderId="0" xfId="0" applyFont="1" applyFill="1" applyAlignment="1">
      <alignment vertical="center"/>
    </xf>
    <xf numFmtId="0" fontId="12" fillId="5" borderId="9" xfId="0" applyFont="1" applyFill="1" applyBorder="1" applyAlignment="1">
      <alignment horizontal="right" vertical="center"/>
    </xf>
    <xf numFmtId="0" fontId="16" fillId="5" borderId="9" xfId="0" applyFont="1" applyFill="1" applyBorder="1" applyAlignment="1">
      <alignment horizontal="center" vertical="center"/>
    </xf>
    <xf numFmtId="43" fontId="12" fillId="5" borderId="9" xfId="1" applyFont="1" applyFill="1" applyBorder="1" applyAlignment="1">
      <alignment vertical="center"/>
    </xf>
    <xf numFmtId="0" fontId="11" fillId="8" borderId="9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vertical="center"/>
    </xf>
    <xf numFmtId="0" fontId="16" fillId="8" borderId="10" xfId="0" applyFont="1" applyFill="1" applyBorder="1" applyAlignment="1">
      <alignment horizontal="center" vertical="center"/>
    </xf>
    <xf numFmtId="0" fontId="10" fillId="8" borderId="0" xfId="0" applyFont="1" applyFill="1" applyAlignment="1">
      <alignment vertical="center"/>
    </xf>
    <xf numFmtId="0" fontId="16" fillId="8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3" fillId="6" borderId="0" xfId="0" applyFont="1" applyFill="1" applyAlignment="1">
      <alignment horizontal="right" vertical="center"/>
    </xf>
    <xf numFmtId="43" fontId="14" fillId="6" borderId="0" xfId="1" applyFont="1" applyFill="1" applyAlignment="1">
      <alignment vertical="center"/>
    </xf>
    <xf numFmtId="3" fontId="12" fillId="5" borderId="0" xfId="0" applyNumberFormat="1" applyFont="1" applyFill="1" applyAlignment="1">
      <alignment vertical="center"/>
    </xf>
    <xf numFmtId="0" fontId="12" fillId="10" borderId="9" xfId="0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4" fontId="10" fillId="8" borderId="0" xfId="0" applyNumberFormat="1" applyFont="1" applyFill="1" applyAlignment="1">
      <alignment horizontal="right" vertical="center"/>
    </xf>
    <xf numFmtId="4" fontId="10" fillId="8" borderId="0" xfId="0" applyNumberFormat="1" applyFont="1" applyFill="1" applyAlignment="1">
      <alignment vertical="center"/>
    </xf>
    <xf numFmtId="4" fontId="10" fillId="8" borderId="0" xfId="1" applyNumberFormat="1" applyFont="1" applyFill="1" applyAlignment="1">
      <alignment vertical="center"/>
    </xf>
    <xf numFmtId="4" fontId="10" fillId="8" borderId="10" xfId="1" applyNumberFormat="1" applyFont="1" applyFill="1" applyBorder="1" applyAlignment="1">
      <alignment vertical="center"/>
    </xf>
    <xf numFmtId="4" fontId="2" fillId="8" borderId="0" xfId="0" applyNumberFormat="1" applyFont="1" applyFill="1" applyAlignment="1">
      <alignment vertical="center"/>
    </xf>
    <xf numFmtId="0" fontId="10" fillId="9" borderId="1" xfId="0" applyFont="1" applyFill="1" applyBorder="1" applyAlignment="1">
      <alignment vertical="center"/>
    </xf>
    <xf numFmtId="0" fontId="10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vertical="center" wrapText="1"/>
    </xf>
    <xf numFmtId="0" fontId="11" fillId="9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 wrapText="1"/>
    </xf>
    <xf numFmtId="43" fontId="10" fillId="6" borderId="3" xfId="1" applyFont="1" applyFill="1" applyBorder="1" applyAlignment="1">
      <alignment vertical="center" wrapText="1"/>
    </xf>
    <xf numFmtId="43" fontId="10" fillId="6" borderId="2" xfId="1" applyFont="1" applyFill="1" applyBorder="1" applyAlignment="1">
      <alignment vertical="center" wrapText="1"/>
    </xf>
    <xf numFmtId="43" fontId="10" fillId="6" borderId="4" xfId="1" applyFont="1" applyFill="1" applyBorder="1" applyAlignment="1">
      <alignment vertical="center" wrapText="1"/>
    </xf>
    <xf numFmtId="0" fontId="5" fillId="11" borderId="1" xfId="0" applyFont="1" applyFill="1" applyBorder="1" applyAlignment="1">
      <alignment horizontal="center" vertical="center" wrapText="1"/>
    </xf>
    <xf numFmtId="166" fontId="12" fillId="5" borderId="9" xfId="1" applyNumberFormat="1" applyFont="1" applyFill="1" applyBorder="1" applyAlignment="1">
      <alignment vertical="center"/>
    </xf>
    <xf numFmtId="3" fontId="12" fillId="5" borderId="0" xfId="0" applyNumberFormat="1" applyFont="1" applyFill="1" applyAlignment="1">
      <alignment horizontal="right" vertical="center"/>
    </xf>
    <xf numFmtId="3" fontId="12" fillId="4" borderId="0" xfId="0" applyNumberFormat="1" applyFont="1" applyFill="1" applyAlignment="1">
      <alignment horizontal="right" vertical="center"/>
    </xf>
  </cellXfs>
  <cellStyles count="4">
    <cellStyle name="Migliaia" xfId="1" builtinId="3"/>
    <cellStyle name="Migliaia 2" xfId="2"/>
    <cellStyle name="Normale" xfId="0" builtinId="0"/>
    <cellStyle name="Percentual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1"/>
  <sheetViews>
    <sheetView tabSelected="1" view="pageBreakPreview" zoomScaleNormal="100" zoomScaleSheetLayoutView="100" workbookViewId="0">
      <selection activeCell="G19" sqref="G19"/>
    </sheetView>
  </sheetViews>
  <sheetFormatPr defaultColWidth="8.85546875" defaultRowHeight="12.75" x14ac:dyDescent="0.25"/>
  <cols>
    <col min="1" max="1" width="32.28515625" style="44" customWidth="1"/>
    <col min="2" max="2" width="25.5703125" style="44" customWidth="1"/>
    <col min="3" max="3" width="13.42578125" style="44" customWidth="1"/>
    <col min="4" max="4" width="16.140625" style="44" customWidth="1"/>
    <col min="5" max="5" width="15.28515625" style="44" customWidth="1"/>
    <col min="6" max="6" width="2.28515625" style="44" customWidth="1"/>
    <col min="7" max="7" width="14.85546875" style="44" customWidth="1"/>
    <col min="8" max="8" width="12.7109375" style="44" customWidth="1"/>
    <col min="9" max="16384" width="8.85546875" style="44"/>
  </cols>
  <sheetData>
    <row r="2" spans="1:8" s="43" customFormat="1" ht="38.25" x14ac:dyDescent="0.25">
      <c r="A2" s="25" t="s">
        <v>30</v>
      </c>
      <c r="B2" s="25" t="s">
        <v>29</v>
      </c>
      <c r="C2" s="25" t="s">
        <v>41</v>
      </c>
      <c r="D2" s="25" t="s">
        <v>42</v>
      </c>
      <c r="E2" s="25" t="s">
        <v>43</v>
      </c>
      <c r="G2" s="26" t="s">
        <v>33</v>
      </c>
      <c r="H2" s="26" t="s">
        <v>37</v>
      </c>
    </row>
    <row r="3" spans="1:8" ht="16.5" customHeight="1" x14ac:dyDescent="0.25">
      <c r="A3" s="27" t="s">
        <v>39</v>
      </c>
      <c r="B3" s="23" t="s">
        <v>28</v>
      </c>
      <c r="C3" s="28">
        <v>200000</v>
      </c>
      <c r="D3" s="38">
        <v>200000</v>
      </c>
      <c r="E3" s="103">
        <f>+D3*H3</f>
        <v>1000000</v>
      </c>
      <c r="G3" s="56" t="s">
        <v>35</v>
      </c>
      <c r="H3" s="55">
        <v>5</v>
      </c>
    </row>
    <row r="4" spans="1:8" ht="27" customHeight="1" x14ac:dyDescent="0.25">
      <c r="A4" s="47" t="s">
        <v>50</v>
      </c>
      <c r="B4" s="24" t="s">
        <v>27</v>
      </c>
      <c r="C4" s="41">
        <v>10000</v>
      </c>
      <c r="D4" s="42">
        <f>+C4</f>
        <v>10000</v>
      </c>
      <c r="E4" s="42">
        <f>+D4*H3</f>
        <v>50000</v>
      </c>
      <c r="G4" s="98" t="s">
        <v>36</v>
      </c>
      <c r="H4" s="99">
        <v>1</v>
      </c>
    </row>
    <row r="5" spans="1:8" ht="41.25" customHeight="1" x14ac:dyDescent="0.25">
      <c r="A5" s="59" t="s">
        <v>46</v>
      </c>
      <c r="B5" s="23" t="s">
        <v>26</v>
      </c>
      <c r="C5" s="31">
        <v>210</v>
      </c>
      <c r="D5" s="62">
        <f>+C5*C6*12</f>
        <v>25200</v>
      </c>
      <c r="E5" s="104">
        <f>+D5*H3</f>
        <v>126000</v>
      </c>
      <c r="G5" s="100" t="s">
        <v>38</v>
      </c>
      <c r="H5" s="99">
        <v>0.5</v>
      </c>
    </row>
    <row r="6" spans="1:8" ht="23.25" customHeight="1" x14ac:dyDescent="0.25">
      <c r="A6" s="58"/>
      <c r="B6" s="22" t="s">
        <v>25</v>
      </c>
      <c r="C6" s="29">
        <v>10</v>
      </c>
      <c r="D6" s="63"/>
      <c r="E6" s="105"/>
      <c r="G6" s="101" t="s">
        <v>34</v>
      </c>
      <c r="H6" s="102">
        <f>+SUM(H3:H5)</f>
        <v>6.5</v>
      </c>
    </row>
    <row r="7" spans="1:8" ht="25.5" x14ac:dyDescent="0.25">
      <c r="A7" s="35" t="s">
        <v>47</v>
      </c>
      <c r="B7" s="36" t="s">
        <v>45</v>
      </c>
      <c r="C7" s="45">
        <v>150000</v>
      </c>
      <c r="D7" s="46">
        <f>+C7</f>
        <v>150000</v>
      </c>
      <c r="E7" s="37">
        <f>+D7*H3</f>
        <v>750000</v>
      </c>
      <c r="G7" s="33"/>
      <c r="H7" s="34"/>
    </row>
    <row r="8" spans="1:8" ht="20.45" customHeight="1" x14ac:dyDescent="0.25">
      <c r="A8" s="57" t="s">
        <v>40</v>
      </c>
      <c r="B8" s="23" t="s">
        <v>48</v>
      </c>
      <c r="C8" s="32">
        <v>500</v>
      </c>
      <c r="D8" s="65">
        <f>+C8*C9</f>
        <v>4000</v>
      </c>
      <c r="E8" s="65">
        <f>+D8*H3</f>
        <v>20000</v>
      </c>
    </row>
    <row r="9" spans="1:8" ht="23.45" customHeight="1" x14ac:dyDescent="0.25">
      <c r="A9" s="58"/>
      <c r="B9" s="22" t="s">
        <v>24</v>
      </c>
      <c r="C9" s="29">
        <v>8</v>
      </c>
      <c r="D9" s="64"/>
      <c r="E9" s="64"/>
    </row>
    <row r="10" spans="1:8" ht="14.45" customHeight="1" x14ac:dyDescent="0.25">
      <c r="A10" s="59" t="s">
        <v>31</v>
      </c>
      <c r="B10" s="23" t="s">
        <v>49</v>
      </c>
      <c r="C10" s="30">
        <v>5000</v>
      </c>
      <c r="D10" s="60">
        <f>+C10*C11</f>
        <v>10000</v>
      </c>
      <c r="E10" s="60">
        <f>+D10*H3</f>
        <v>50000</v>
      </c>
    </row>
    <row r="11" spans="1:8" x14ac:dyDescent="0.25">
      <c r="A11" s="58"/>
      <c r="B11" s="22" t="s">
        <v>23</v>
      </c>
      <c r="C11" s="29">
        <v>2</v>
      </c>
      <c r="D11" s="61"/>
      <c r="E11" s="61"/>
    </row>
    <row r="12" spans="1:8" ht="27" customHeight="1" x14ac:dyDescent="0.25">
      <c r="C12" s="26" t="s">
        <v>32</v>
      </c>
      <c r="D12" s="54">
        <f>+SUM(D3:D11)</f>
        <v>399200</v>
      </c>
      <c r="E12" s="54">
        <f>+SUM(E3:E11)</f>
        <v>1996000</v>
      </c>
    </row>
    <row r="13" spans="1:8" x14ac:dyDescent="0.25">
      <c r="C13" s="49"/>
      <c r="D13" s="49"/>
      <c r="E13" s="49"/>
      <c r="F13" s="49"/>
      <c r="G13" s="49"/>
      <c r="H13" s="49"/>
    </row>
    <row r="14" spans="1:8" x14ac:dyDescent="0.25">
      <c r="D14" s="88" t="s">
        <v>58</v>
      </c>
      <c r="E14" s="89">
        <f>+E3+E5</f>
        <v>1126000</v>
      </c>
    </row>
    <row r="15" spans="1:8" x14ac:dyDescent="0.25">
      <c r="D15" s="88" t="s">
        <v>57</v>
      </c>
      <c r="E15" s="89">
        <f>+E14*0.22</f>
        <v>247720</v>
      </c>
    </row>
    <row r="17" spans="1:9" x14ac:dyDescent="0.25">
      <c r="A17" s="81" t="s">
        <v>60</v>
      </c>
      <c r="B17" s="82" t="s">
        <v>61</v>
      </c>
      <c r="C17" s="81" t="s">
        <v>59</v>
      </c>
      <c r="D17" s="81" t="s">
        <v>0</v>
      </c>
      <c r="E17" s="81" t="s">
        <v>1</v>
      </c>
      <c r="F17" s="81"/>
      <c r="G17" s="81" t="s">
        <v>2</v>
      </c>
      <c r="H17" s="81" t="s">
        <v>3</v>
      </c>
    </row>
    <row r="18" spans="1:9" x14ac:dyDescent="0.25">
      <c r="A18" s="83" t="s">
        <v>9</v>
      </c>
      <c r="B18" s="84" t="s">
        <v>71</v>
      </c>
      <c r="C18" s="96">
        <f>+SUM(D18:H18)</f>
        <v>200000</v>
      </c>
      <c r="D18" s="96">
        <v>50740</v>
      </c>
      <c r="E18" s="96">
        <v>58700</v>
      </c>
      <c r="F18" s="96"/>
      <c r="G18" s="96">
        <v>49260</v>
      </c>
      <c r="H18" s="96">
        <v>41300</v>
      </c>
    </row>
    <row r="19" spans="1:9" x14ac:dyDescent="0.25">
      <c r="A19" s="83" t="s">
        <v>52</v>
      </c>
      <c r="B19" s="84" t="s">
        <v>66</v>
      </c>
      <c r="C19" s="96">
        <f>+SUM(D19:H19)</f>
        <v>10000</v>
      </c>
      <c r="D19" s="96">
        <f>+C4*0.25</f>
        <v>2500</v>
      </c>
      <c r="E19" s="96">
        <f>+C4*0.43</f>
        <v>4300</v>
      </c>
      <c r="F19" s="96"/>
      <c r="G19" s="96">
        <f>+C4*0.27</f>
        <v>2700</v>
      </c>
      <c r="H19" s="96">
        <f>+C4*0.05</f>
        <v>500</v>
      </c>
    </row>
    <row r="20" spans="1:9" x14ac:dyDescent="0.25">
      <c r="A20" s="85" t="s">
        <v>53</v>
      </c>
      <c r="B20" s="86"/>
      <c r="C20" s="95">
        <f>+SUM(D20:H20)</f>
        <v>25200</v>
      </c>
      <c r="D20" s="95">
        <f>+D21*D22</f>
        <v>11760</v>
      </c>
      <c r="E20" s="95">
        <f>+E21*E22</f>
        <v>6600</v>
      </c>
      <c r="F20" s="95"/>
      <c r="G20" s="95">
        <f>+G21*G22</f>
        <v>5640</v>
      </c>
      <c r="H20" s="95">
        <f>+H21*H22</f>
        <v>1200</v>
      </c>
    </row>
    <row r="21" spans="1:9" s="48" customFormat="1" ht="11.25" x14ac:dyDescent="0.25">
      <c r="A21" s="76" t="s">
        <v>55</v>
      </c>
      <c r="B21" s="75" t="s">
        <v>67</v>
      </c>
      <c r="C21" s="77">
        <f>+SUM(D21:H21)</f>
        <v>210</v>
      </c>
      <c r="D21" s="77">
        <f>35+63</f>
        <v>98</v>
      </c>
      <c r="E21" s="92">
        <v>55</v>
      </c>
      <c r="F21" s="92"/>
      <c r="G21" s="92">
        <v>47</v>
      </c>
      <c r="H21" s="77">
        <f>5+5</f>
        <v>10</v>
      </c>
    </row>
    <row r="22" spans="1:9" s="48" customFormat="1" ht="11.25" x14ac:dyDescent="0.25">
      <c r="A22" s="78" t="s">
        <v>62</v>
      </c>
      <c r="B22" s="79"/>
      <c r="C22" s="91"/>
      <c r="D22" s="80">
        <f>10*12</f>
        <v>120</v>
      </c>
      <c r="E22" s="80">
        <f>10*12</f>
        <v>120</v>
      </c>
      <c r="F22" s="80"/>
      <c r="G22" s="80">
        <f>10*12</f>
        <v>120</v>
      </c>
      <c r="H22" s="80">
        <f>10*12</f>
        <v>120</v>
      </c>
    </row>
    <row r="23" spans="1:9" x14ac:dyDescent="0.25">
      <c r="A23" s="83" t="s">
        <v>54</v>
      </c>
      <c r="B23" s="84"/>
      <c r="C23" s="96">
        <f>+SUM(D23:H23)</f>
        <v>150000</v>
      </c>
      <c r="D23" s="96">
        <v>96000</v>
      </c>
      <c r="E23" s="96">
        <v>22000</v>
      </c>
      <c r="F23" s="96"/>
      <c r="G23" s="96">
        <v>25000</v>
      </c>
      <c r="H23" s="96">
        <v>7000</v>
      </c>
    </row>
    <row r="24" spans="1:9" x14ac:dyDescent="0.25">
      <c r="A24" s="85" t="s">
        <v>68</v>
      </c>
      <c r="B24" s="86"/>
      <c r="C24" s="95">
        <f>+SUM(D24:H24)</f>
        <v>4000</v>
      </c>
      <c r="D24" s="50"/>
      <c r="E24" s="93">
        <f>+E25*E26</f>
        <v>2400</v>
      </c>
      <c r="F24" s="94"/>
      <c r="G24" s="94">
        <f>+G25*G26</f>
        <v>1600</v>
      </c>
      <c r="H24" s="50"/>
    </row>
    <row r="25" spans="1:9" s="48" customFormat="1" ht="11.25" x14ac:dyDescent="0.25">
      <c r="A25" s="76" t="s">
        <v>55</v>
      </c>
      <c r="B25" s="75" t="s">
        <v>67</v>
      </c>
      <c r="C25" s="108">
        <f>+SUM(D25:H25)</f>
        <v>500</v>
      </c>
      <c r="D25" s="51"/>
      <c r="E25" s="108">
        <v>300</v>
      </c>
      <c r="F25" s="90"/>
      <c r="G25" s="108">
        <v>200</v>
      </c>
      <c r="H25" s="51"/>
    </row>
    <row r="26" spans="1:9" s="48" customFormat="1" ht="11.25" x14ac:dyDescent="0.25">
      <c r="A26" s="78" t="s">
        <v>62</v>
      </c>
      <c r="B26" s="79"/>
      <c r="C26" s="107">
        <v>8</v>
      </c>
      <c r="D26" s="52"/>
      <c r="E26" s="107">
        <v>8</v>
      </c>
      <c r="F26" s="107"/>
      <c r="G26" s="107">
        <v>8</v>
      </c>
      <c r="H26" s="52"/>
    </row>
    <row r="27" spans="1:9" x14ac:dyDescent="0.25">
      <c r="A27" s="85" t="s">
        <v>56</v>
      </c>
      <c r="B27" s="86"/>
      <c r="C27" s="95">
        <f>+SUM(D27:H27)</f>
        <v>10800</v>
      </c>
      <c r="D27" s="50"/>
      <c r="E27" s="94">
        <f>+E28*E29</f>
        <v>6000</v>
      </c>
      <c r="F27" s="94"/>
      <c r="G27" s="94">
        <f>+G28*G29</f>
        <v>4800</v>
      </c>
      <c r="H27" s="50"/>
    </row>
    <row r="28" spans="1:9" x14ac:dyDescent="0.25">
      <c r="A28" s="76" t="s">
        <v>55</v>
      </c>
      <c r="B28" s="75" t="s">
        <v>67</v>
      </c>
      <c r="C28" s="108">
        <f>+SUM(D28:H28)</f>
        <v>5400</v>
      </c>
      <c r="D28" s="51"/>
      <c r="E28" s="108">
        <v>3000</v>
      </c>
      <c r="F28" s="90"/>
      <c r="G28" s="109">
        <v>2400</v>
      </c>
      <c r="H28" s="51"/>
    </row>
    <row r="29" spans="1:9" x14ac:dyDescent="0.25">
      <c r="A29" s="78" t="s">
        <v>62</v>
      </c>
      <c r="B29" s="79"/>
      <c r="C29" s="107">
        <v>2</v>
      </c>
      <c r="D29" s="52"/>
      <c r="E29" s="107">
        <v>2</v>
      </c>
      <c r="F29" s="107"/>
      <c r="G29" s="107">
        <v>2</v>
      </c>
      <c r="H29" s="52"/>
      <c r="I29" s="43" t="s">
        <v>63</v>
      </c>
    </row>
    <row r="30" spans="1:9" ht="15" x14ac:dyDescent="0.25">
      <c r="A30" s="87" t="s">
        <v>64</v>
      </c>
      <c r="B30" s="87"/>
      <c r="C30" s="97">
        <f>+C18+C19+C20+C23+C24+C27</f>
        <v>400000</v>
      </c>
      <c r="D30" s="97">
        <f>+D18+D19+D20+D23+D24+D27</f>
        <v>161000</v>
      </c>
      <c r="E30" s="97">
        <f>+E18+E19+E20+E23+E24+E27</f>
        <v>100000</v>
      </c>
      <c r="F30" s="97"/>
      <c r="G30" s="97">
        <f>+G18+G19+G20+G23+G24+G27</f>
        <v>89000</v>
      </c>
      <c r="H30" s="97">
        <f>+H18+H19+H20+H23+H24+H27</f>
        <v>50000</v>
      </c>
      <c r="I30" s="49">
        <f>+C30-SUM(D30:H30)</f>
        <v>0</v>
      </c>
    </row>
    <row r="31" spans="1:9" ht="15" x14ac:dyDescent="0.25">
      <c r="A31" s="87" t="s">
        <v>65</v>
      </c>
      <c r="B31" s="87"/>
      <c r="C31" s="97">
        <f>+C30*5</f>
        <v>2000000</v>
      </c>
      <c r="D31" s="97">
        <f>+D30*5</f>
        <v>805000</v>
      </c>
      <c r="E31" s="97">
        <f>+E30*5</f>
        <v>500000</v>
      </c>
      <c r="F31" s="97"/>
      <c r="G31" s="97">
        <f>+G30*5</f>
        <v>445000</v>
      </c>
      <c r="H31" s="97">
        <f>+H30*5</f>
        <v>250000</v>
      </c>
      <c r="I31" s="49">
        <f>+C31-SUM(D31:H31)</f>
        <v>0</v>
      </c>
    </row>
  </sheetData>
  <mergeCells count="9">
    <mergeCell ref="A8:A9"/>
    <mergeCell ref="A10:A11"/>
    <mergeCell ref="D10:D11"/>
    <mergeCell ref="E10:E11"/>
    <mergeCell ref="D5:D6"/>
    <mergeCell ref="E5:E6"/>
    <mergeCell ref="D8:D9"/>
    <mergeCell ref="E8:E9"/>
    <mergeCell ref="A5:A6"/>
  </mergeCells>
  <printOptions gridLines="1"/>
  <pageMargins left="0.70866141732283472" right="0.70866141732283472" top="0.74803149606299213" bottom="0.74803149606299213" header="0.31496062992125984" footer="0.31496062992125984"/>
  <pageSetup paperSize="9" scale="65" orientation="portrait" blackAndWhite="1" horizontalDpi="300" verticalDpi="300" r:id="rId1"/>
  <headerFooter>
    <oddHeader>&amp;L&amp;F&amp;C&amp;A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43"/>
  <sheetViews>
    <sheetView view="pageBreakPreview" zoomScaleNormal="100" zoomScaleSheetLayoutView="100" workbookViewId="0">
      <selection activeCell="C10" sqref="C10"/>
    </sheetView>
  </sheetViews>
  <sheetFormatPr defaultColWidth="9.140625" defaultRowHeight="15" x14ac:dyDescent="0.25"/>
  <cols>
    <col min="1" max="1" width="29" style="3" customWidth="1"/>
    <col min="2" max="2" width="6" style="2" customWidth="1"/>
    <col min="3" max="3" width="14.85546875" style="7" bestFit="1" customWidth="1"/>
    <col min="4" max="6" width="14" style="7" bestFit="1" customWidth="1"/>
    <col min="7" max="7" width="14.140625" style="7" bestFit="1" customWidth="1"/>
    <col min="8" max="16384" width="9.140625" style="3"/>
  </cols>
  <sheetData>
    <row r="1" spans="1:7" ht="18.75" x14ac:dyDescent="0.25">
      <c r="A1" s="74" t="s">
        <v>51</v>
      </c>
      <c r="B1" s="74"/>
      <c r="C1" s="74"/>
      <c r="D1" s="74"/>
      <c r="E1" s="74"/>
      <c r="F1" s="74"/>
      <c r="G1" s="74"/>
    </row>
    <row r="3" spans="1:7" ht="15.75" x14ac:dyDescent="0.25">
      <c r="A3" s="15" t="s">
        <v>70</v>
      </c>
      <c r="B3" s="4"/>
      <c r="C3" s="8"/>
      <c r="D3" s="8"/>
      <c r="E3" s="8"/>
      <c r="F3" s="8"/>
      <c r="G3" s="8"/>
    </row>
    <row r="4" spans="1:7" x14ac:dyDescent="0.25">
      <c r="A4" s="1" t="s">
        <v>14</v>
      </c>
      <c r="B4" s="1" t="s">
        <v>4</v>
      </c>
      <c r="C4" s="9" t="s">
        <v>0</v>
      </c>
      <c r="D4" s="9" t="s">
        <v>1</v>
      </c>
      <c r="E4" s="9" t="s">
        <v>2</v>
      </c>
      <c r="F4" s="9" t="s">
        <v>3</v>
      </c>
      <c r="G4" s="9" t="s">
        <v>8</v>
      </c>
    </row>
    <row r="5" spans="1:7" x14ac:dyDescent="0.25">
      <c r="A5" s="5" t="s">
        <v>9</v>
      </c>
      <c r="B5" s="6" t="s">
        <v>5</v>
      </c>
      <c r="C5" s="71">
        <f>110000/2</f>
        <v>55000</v>
      </c>
      <c r="D5" s="71">
        <v>64000</v>
      </c>
      <c r="E5" s="71">
        <v>54000</v>
      </c>
      <c r="F5" s="71">
        <v>45000</v>
      </c>
      <c r="G5" s="68">
        <f>+SUM(C5:F7)</f>
        <v>218000</v>
      </c>
    </row>
    <row r="6" spans="1:7" x14ac:dyDescent="0.25">
      <c r="A6" s="5" t="s">
        <v>10</v>
      </c>
      <c r="B6" s="6" t="s">
        <v>5</v>
      </c>
      <c r="C6" s="72"/>
      <c r="D6" s="72"/>
      <c r="E6" s="72"/>
      <c r="F6" s="72"/>
      <c r="G6" s="69"/>
    </row>
    <row r="7" spans="1:7" x14ac:dyDescent="0.25">
      <c r="A7" s="5" t="s">
        <v>13</v>
      </c>
      <c r="B7" s="6" t="s">
        <v>5</v>
      </c>
      <c r="C7" s="73"/>
      <c r="D7" s="73"/>
      <c r="E7" s="73"/>
      <c r="F7" s="73"/>
      <c r="G7" s="70"/>
    </row>
    <row r="8" spans="1:7" x14ac:dyDescent="0.25">
      <c r="A8" s="12" t="s">
        <v>44</v>
      </c>
      <c r="B8" s="13" t="s">
        <v>5</v>
      </c>
      <c r="C8" s="14">
        <v>12000</v>
      </c>
      <c r="D8" s="14">
        <v>6000</v>
      </c>
      <c r="E8" s="14">
        <v>4200</v>
      </c>
      <c r="F8" s="14">
        <v>615</v>
      </c>
      <c r="G8" s="39">
        <f>+SUM(C8:F8)</f>
        <v>22815</v>
      </c>
    </row>
    <row r="9" spans="1:7" x14ac:dyDescent="0.25">
      <c r="A9" s="12" t="s">
        <v>21</v>
      </c>
      <c r="B9" s="13" t="s">
        <v>5</v>
      </c>
      <c r="C9" s="14">
        <v>96000</v>
      </c>
      <c r="D9" s="14">
        <v>22000</v>
      </c>
      <c r="E9" s="14">
        <v>25000</v>
      </c>
      <c r="F9" s="14">
        <v>7000</v>
      </c>
      <c r="G9" s="40">
        <f>+SUM(C9:F9)</f>
        <v>150000</v>
      </c>
    </row>
    <row r="10" spans="1:7" ht="25.5" x14ac:dyDescent="0.25">
      <c r="A10" s="12" t="s">
        <v>69</v>
      </c>
      <c r="B10" s="106" t="s">
        <v>55</v>
      </c>
      <c r="C10" s="17"/>
      <c r="D10" s="14">
        <v>300</v>
      </c>
      <c r="E10" s="14">
        <v>200</v>
      </c>
      <c r="F10" s="17"/>
      <c r="G10" s="16">
        <f>+SUM(D10:E10)</f>
        <v>500</v>
      </c>
    </row>
    <row r="11" spans="1:7" ht="25.5" x14ac:dyDescent="0.25">
      <c r="A11" s="12" t="s">
        <v>16</v>
      </c>
      <c r="B11" s="106" t="s">
        <v>55</v>
      </c>
      <c r="C11" s="17"/>
      <c r="D11" s="14">
        <v>3000</v>
      </c>
      <c r="E11" s="14">
        <v>2400</v>
      </c>
      <c r="F11" s="17"/>
      <c r="G11" s="16">
        <f>+SUM(D11:E11)</f>
        <v>5400</v>
      </c>
    </row>
    <row r="12" spans="1:7" ht="15.75" thickBot="1" x14ac:dyDescent="0.3">
      <c r="A12" s="18" t="s">
        <v>20</v>
      </c>
      <c r="B12" s="19"/>
      <c r="C12" s="20"/>
      <c r="D12" s="20"/>
      <c r="E12" s="20"/>
      <c r="F12" s="20"/>
      <c r="G12" s="21"/>
    </row>
    <row r="13" spans="1:7" ht="15.75" thickTop="1" x14ac:dyDescent="0.25">
      <c r="D13" s="53"/>
    </row>
    <row r="14" spans="1:7" s="2" customFormat="1" ht="15" customHeight="1" x14ac:dyDescent="0.25">
      <c r="A14" s="11" t="s">
        <v>22</v>
      </c>
      <c r="B14" s="4"/>
      <c r="C14" s="8"/>
      <c r="D14" s="8"/>
      <c r="E14" s="8"/>
      <c r="F14" s="8"/>
      <c r="G14" s="8"/>
    </row>
    <row r="15" spans="1:7" s="2" customFormat="1" ht="15" customHeight="1" x14ac:dyDescent="0.25">
      <c r="A15" s="1" t="s">
        <v>14</v>
      </c>
      <c r="B15" s="1" t="s">
        <v>4</v>
      </c>
      <c r="C15" s="9" t="s">
        <v>0</v>
      </c>
      <c r="D15" s="9" t="s">
        <v>1</v>
      </c>
      <c r="E15" s="9" t="s">
        <v>2</v>
      </c>
      <c r="F15" s="9" t="s">
        <v>3</v>
      </c>
      <c r="G15" s="9" t="s">
        <v>8</v>
      </c>
    </row>
    <row r="16" spans="1:7" ht="15" customHeight="1" x14ac:dyDescent="0.25">
      <c r="A16" s="5" t="s">
        <v>9</v>
      </c>
      <c r="B16" s="6" t="s">
        <v>5</v>
      </c>
      <c r="C16" s="71">
        <f>110000/2</f>
        <v>55000</v>
      </c>
      <c r="D16" s="71">
        <v>49000</v>
      </c>
      <c r="E16" s="10">
        <v>35000</v>
      </c>
      <c r="F16" s="71">
        <v>45000</v>
      </c>
      <c r="G16" s="68">
        <f>+SUM(C16:F18)</f>
        <v>189200</v>
      </c>
    </row>
    <row r="17" spans="1:7" ht="15" customHeight="1" x14ac:dyDescent="0.25">
      <c r="A17" s="5" t="s">
        <v>10</v>
      </c>
      <c r="B17" s="6" t="s">
        <v>5</v>
      </c>
      <c r="C17" s="72"/>
      <c r="D17" s="72"/>
      <c r="E17" s="10">
        <v>5200</v>
      </c>
      <c r="F17" s="72"/>
      <c r="G17" s="69"/>
    </row>
    <row r="18" spans="1:7" ht="15" customHeight="1" x14ac:dyDescent="0.25">
      <c r="A18" s="5" t="s">
        <v>13</v>
      </c>
      <c r="B18" s="6" t="s">
        <v>5</v>
      </c>
      <c r="C18" s="73"/>
      <c r="D18" s="73"/>
      <c r="E18" s="10"/>
      <c r="F18" s="73"/>
      <c r="G18" s="70"/>
    </row>
    <row r="19" spans="1:7" x14ac:dyDescent="0.25">
      <c r="A19" s="12" t="s">
        <v>44</v>
      </c>
      <c r="B19" s="13" t="s">
        <v>5</v>
      </c>
      <c r="C19" s="14">
        <f>13644.4/1.22</f>
        <v>11183.934426229509</v>
      </c>
      <c r="D19" s="14">
        <f>50*10*12</f>
        <v>6000</v>
      </c>
      <c r="E19" s="14">
        <v>1150</v>
      </c>
      <c r="F19" s="14">
        <v>410</v>
      </c>
      <c r="G19" s="39">
        <f>+SUM(C19:F19)</f>
        <v>18743.934426229509</v>
      </c>
    </row>
    <row r="20" spans="1:7" x14ac:dyDescent="0.25">
      <c r="A20" s="12" t="s">
        <v>21</v>
      </c>
      <c r="B20" s="13" t="s">
        <v>5</v>
      </c>
      <c r="C20" s="14">
        <v>83607.210000000006</v>
      </c>
      <c r="D20" s="14">
        <v>17000</v>
      </c>
      <c r="E20" s="14">
        <v>15631</v>
      </c>
      <c r="F20" s="14">
        <v>6619</v>
      </c>
      <c r="G20" s="40">
        <f>+SUM(C20:F20)</f>
        <v>122857.21</v>
      </c>
    </row>
    <row r="21" spans="1:7" ht="38.450000000000003" customHeight="1" x14ac:dyDescent="0.25">
      <c r="A21" s="12" t="s">
        <v>19</v>
      </c>
      <c r="B21" s="13" t="s">
        <v>5</v>
      </c>
      <c r="C21" s="17"/>
      <c r="D21" s="14">
        <f>200*8</f>
        <v>1600</v>
      </c>
      <c r="E21" s="14">
        <f>300*8</f>
        <v>2400</v>
      </c>
      <c r="F21" s="17"/>
      <c r="G21" s="16">
        <f>+SUM(D21:E21)</f>
        <v>4000</v>
      </c>
    </row>
    <row r="22" spans="1:7" ht="29.25" customHeight="1" x14ac:dyDescent="0.25">
      <c r="A22" s="12" t="s">
        <v>16</v>
      </c>
      <c r="B22" s="13" t="s">
        <v>5</v>
      </c>
      <c r="C22" s="17"/>
      <c r="D22" s="14">
        <f>2500*2</f>
        <v>5000</v>
      </c>
      <c r="E22" s="14">
        <v>4800</v>
      </c>
      <c r="F22" s="17"/>
      <c r="G22" s="16">
        <f>+SUM(D22:E22)</f>
        <v>9800</v>
      </c>
    </row>
    <row r="23" spans="1:7" ht="29.25" customHeight="1" thickBot="1" x14ac:dyDescent="0.3">
      <c r="A23" s="18" t="s">
        <v>20</v>
      </c>
      <c r="B23" s="19"/>
      <c r="C23" s="20"/>
      <c r="D23" s="20"/>
      <c r="E23" s="20"/>
      <c r="F23" s="20"/>
      <c r="G23" s="21"/>
    </row>
    <row r="24" spans="1:7" ht="15.75" thickTop="1" x14ac:dyDescent="0.25"/>
    <row r="25" spans="1:7" ht="15.75" x14ac:dyDescent="0.25">
      <c r="A25" s="11" t="s">
        <v>6</v>
      </c>
      <c r="B25" s="4"/>
      <c r="C25" s="8"/>
      <c r="D25" s="8"/>
      <c r="E25" s="8"/>
      <c r="F25" s="8"/>
      <c r="G25" s="8"/>
    </row>
    <row r="26" spans="1:7" x14ac:dyDescent="0.25">
      <c r="A26" s="1" t="s">
        <v>14</v>
      </c>
      <c r="B26" s="1" t="s">
        <v>4</v>
      </c>
      <c r="C26" s="9" t="s">
        <v>0</v>
      </c>
      <c r="D26" s="9" t="s">
        <v>1</v>
      </c>
      <c r="E26" s="9" t="s">
        <v>2</v>
      </c>
      <c r="F26" s="9" t="s">
        <v>3</v>
      </c>
      <c r="G26" s="9" t="s">
        <v>8</v>
      </c>
    </row>
    <row r="27" spans="1:7" x14ac:dyDescent="0.25">
      <c r="A27" s="5" t="s">
        <v>9</v>
      </c>
      <c r="B27" s="6" t="s">
        <v>5</v>
      </c>
      <c r="C27" s="10">
        <f>24400/1.22</f>
        <v>20000</v>
      </c>
      <c r="D27" s="10">
        <v>40000</v>
      </c>
      <c r="E27" s="10">
        <v>35000</v>
      </c>
      <c r="F27" s="71">
        <f>31720+3764</f>
        <v>35484</v>
      </c>
      <c r="G27" s="68">
        <f>+SUM(C27:F29)</f>
        <v>209549.31142588283</v>
      </c>
    </row>
    <row r="28" spans="1:7" x14ac:dyDescent="0.25">
      <c r="A28" s="5" t="s">
        <v>10</v>
      </c>
      <c r="B28" s="6" t="s">
        <v>5</v>
      </c>
      <c r="C28" s="10">
        <f>5441.1/331*365/1.22</f>
        <v>4918.0365014115205</v>
      </c>
      <c r="D28" s="10">
        <v>4918</v>
      </c>
      <c r="E28" s="10">
        <v>5200</v>
      </c>
      <c r="F28" s="72"/>
      <c r="G28" s="69"/>
    </row>
    <row r="29" spans="1:7" x14ac:dyDescent="0.25">
      <c r="A29" s="5" t="s">
        <v>13</v>
      </c>
      <c r="B29" s="6" t="s">
        <v>5</v>
      </c>
      <c r="C29" s="10">
        <f>46956/331*365</f>
        <v>51779.274924471298</v>
      </c>
      <c r="D29" s="10">
        <v>12250</v>
      </c>
      <c r="E29" s="10"/>
      <c r="F29" s="73"/>
      <c r="G29" s="70"/>
    </row>
    <row r="30" spans="1:7" x14ac:dyDescent="0.25">
      <c r="A30" s="12" t="s">
        <v>11</v>
      </c>
      <c r="B30" s="13" t="s">
        <v>5</v>
      </c>
      <c r="C30" s="14">
        <f>12657.52/1.22</f>
        <v>10375.016393442624</v>
      </c>
      <c r="D30" s="14">
        <f>49*180</f>
        <v>8820</v>
      </c>
      <c r="E30" s="14">
        <v>1139.2</v>
      </c>
      <c r="F30" s="14">
        <v>0</v>
      </c>
      <c r="G30" s="66">
        <f>+SUM(C30:F31)</f>
        <v>130277.07819672131</v>
      </c>
    </row>
    <row r="31" spans="1:7" x14ac:dyDescent="0.25">
      <c r="A31" s="12" t="s">
        <v>12</v>
      </c>
      <c r="B31" s="13" t="s">
        <v>5</v>
      </c>
      <c r="C31" s="14">
        <f>17297.76/1.22+57779.95</f>
        <v>71958.441803278693</v>
      </c>
      <c r="D31" s="14">
        <v>17000</v>
      </c>
      <c r="E31" s="14">
        <f>14986+2290.42</f>
        <v>17276.419999999998</v>
      </c>
      <c r="F31" s="14">
        <v>3708</v>
      </c>
      <c r="G31" s="67"/>
    </row>
    <row r="32" spans="1:7" ht="25.5" x14ac:dyDescent="0.25">
      <c r="A32" s="12" t="s">
        <v>18</v>
      </c>
      <c r="B32" s="13" t="s">
        <v>5</v>
      </c>
      <c r="C32" s="17"/>
      <c r="D32" s="14">
        <v>1585</v>
      </c>
      <c r="E32" s="14"/>
      <c r="F32" s="17"/>
      <c r="G32" s="16">
        <f>+SUM(D32:E32)</f>
        <v>1585</v>
      </c>
    </row>
    <row r="33" spans="1:8" ht="21" customHeight="1" x14ac:dyDescent="0.25">
      <c r="A33" s="12" t="s">
        <v>15</v>
      </c>
      <c r="B33" s="13" t="s">
        <v>5</v>
      </c>
      <c r="C33" s="17"/>
      <c r="D33" s="14">
        <f>2576*4</f>
        <v>10304</v>
      </c>
      <c r="E33" s="14"/>
      <c r="F33" s="17"/>
      <c r="G33" s="16">
        <f>+SUM(D33:E33)</f>
        <v>10304</v>
      </c>
    </row>
    <row r="35" spans="1:8" ht="15.75" x14ac:dyDescent="0.25">
      <c r="A35" s="11" t="s">
        <v>7</v>
      </c>
      <c r="B35" s="4"/>
      <c r="C35" s="8"/>
      <c r="D35" s="8"/>
      <c r="E35" s="8"/>
      <c r="F35" s="8"/>
      <c r="G35" s="8"/>
    </row>
    <row r="36" spans="1:8" x14ac:dyDescent="0.25">
      <c r="A36" s="1" t="s">
        <v>14</v>
      </c>
      <c r="B36" s="1" t="s">
        <v>4</v>
      </c>
      <c r="C36" s="9" t="s">
        <v>0</v>
      </c>
      <c r="D36" s="9" t="s">
        <v>1</v>
      </c>
      <c r="E36" s="9" t="s">
        <v>2</v>
      </c>
      <c r="F36" s="9" t="s">
        <v>3</v>
      </c>
      <c r="G36" s="9" t="s">
        <v>8</v>
      </c>
    </row>
    <row r="37" spans="1:8" x14ac:dyDescent="0.25">
      <c r="A37" s="5" t="s">
        <v>9</v>
      </c>
      <c r="B37" s="6" t="s">
        <v>5</v>
      </c>
      <c r="C37" s="10">
        <f>24400/1.22</f>
        <v>20000</v>
      </c>
      <c r="D37" s="10">
        <v>40000</v>
      </c>
      <c r="E37" s="10">
        <v>35000</v>
      </c>
      <c r="F37" s="71">
        <v>26000</v>
      </c>
      <c r="G37" s="68">
        <f>+SUM(C37:F39)</f>
        <v>190520.03278688525</v>
      </c>
    </row>
    <row r="38" spans="1:8" x14ac:dyDescent="0.25">
      <c r="A38" s="5" t="s">
        <v>10</v>
      </c>
      <c r="B38" s="6" t="s">
        <v>5</v>
      </c>
      <c r="C38" s="10">
        <f>6000/1.22</f>
        <v>4918.0327868852464</v>
      </c>
      <c r="D38" s="10">
        <v>4918</v>
      </c>
      <c r="E38" s="10">
        <v>5200</v>
      </c>
      <c r="F38" s="72"/>
      <c r="G38" s="69"/>
    </row>
    <row r="39" spans="1:8" x14ac:dyDescent="0.25">
      <c r="A39" s="5" t="s">
        <v>13</v>
      </c>
      <c r="B39" s="6" t="s">
        <v>5</v>
      </c>
      <c r="C39" s="10">
        <v>43484</v>
      </c>
      <c r="D39" s="10">
        <v>11000</v>
      </c>
      <c r="E39" s="10"/>
      <c r="F39" s="73"/>
      <c r="G39" s="70"/>
    </row>
    <row r="40" spans="1:8" ht="21" customHeight="1" x14ac:dyDescent="0.25">
      <c r="A40" s="12" t="s">
        <v>11</v>
      </c>
      <c r="B40" s="13" t="s">
        <v>5</v>
      </c>
      <c r="C40" s="14"/>
      <c r="D40" s="14">
        <f>49*180</f>
        <v>8820</v>
      </c>
      <c r="E40" s="14">
        <v>1985</v>
      </c>
      <c r="F40" s="14">
        <v>0</v>
      </c>
      <c r="G40" s="66">
        <f>+SUM(C40:F41)</f>
        <v>42584.49</v>
      </c>
    </row>
    <row r="41" spans="1:8" ht="22.5" customHeight="1" x14ac:dyDescent="0.25">
      <c r="A41" s="12" t="s">
        <v>12</v>
      </c>
      <c r="B41" s="13" t="s">
        <v>5</v>
      </c>
      <c r="C41" s="14"/>
      <c r="D41" s="14">
        <v>17000</v>
      </c>
      <c r="E41" s="14">
        <f>10201+1579.49</f>
        <v>11780.49</v>
      </c>
      <c r="F41" s="14">
        <v>2999</v>
      </c>
      <c r="G41" s="67"/>
    </row>
    <row r="42" spans="1:8" ht="25.5" x14ac:dyDescent="0.25">
      <c r="A42" s="12" t="s">
        <v>17</v>
      </c>
      <c r="B42" s="13" t="s">
        <v>5</v>
      </c>
      <c r="C42" s="17"/>
      <c r="D42" s="14">
        <f>1200*15</f>
        <v>18000</v>
      </c>
      <c r="E42" s="14"/>
      <c r="F42" s="17"/>
      <c r="G42" s="16">
        <f>+SUM(D42:E42)</f>
        <v>18000</v>
      </c>
      <c r="H42" s="3">
        <f>15*1200</f>
        <v>18000</v>
      </c>
    </row>
    <row r="43" spans="1:8" x14ac:dyDescent="0.25">
      <c r="A43" s="12" t="s">
        <v>15</v>
      </c>
      <c r="B43" s="13" t="s">
        <v>5</v>
      </c>
      <c r="C43" s="17"/>
      <c r="D43" s="14">
        <f>2688*4</f>
        <v>10752</v>
      </c>
      <c r="E43" s="14"/>
      <c r="F43" s="17"/>
      <c r="G43" s="16">
        <f>+SUM(D43:E43)</f>
        <v>10752</v>
      </c>
    </row>
  </sheetData>
  <mergeCells count="16">
    <mergeCell ref="G40:G41"/>
    <mergeCell ref="G37:G39"/>
    <mergeCell ref="G30:G31"/>
    <mergeCell ref="F37:F39"/>
    <mergeCell ref="A1:G1"/>
    <mergeCell ref="F27:F29"/>
    <mergeCell ref="C16:C18"/>
    <mergeCell ref="G27:G29"/>
    <mergeCell ref="G16:G18"/>
    <mergeCell ref="D16:D18"/>
    <mergeCell ref="F16:F18"/>
    <mergeCell ref="C5:C7"/>
    <mergeCell ref="D5:D7"/>
    <mergeCell ref="E5:E7"/>
    <mergeCell ref="F5:F7"/>
    <mergeCell ref="G5:G7"/>
  </mergeCells>
  <pageMargins left="0.70866141732283472" right="0.70866141732283472" top="0.74803149606299213" bottom="0.74803149606299213" header="0.31496062992125984" footer="0.31496062992125984"/>
  <pageSetup paperSize="9" scale="82" orientation="portrait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calcolo</vt:lpstr>
      <vt:lpstr>storico</vt:lpstr>
      <vt:lpstr>calcolo!Area_stampa</vt:lpstr>
      <vt:lpstr>storico!Area_stampa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Raffaele Giordano</dc:creator>
  <cp:lastModifiedBy>Raffaele Giordano</cp:lastModifiedBy>
  <cp:lastPrinted>2025-11-20T12:17:58Z</cp:lastPrinted>
  <dcterms:created xsi:type="dcterms:W3CDTF">2024-03-11T11:05:15Z</dcterms:created>
  <dcterms:modified xsi:type="dcterms:W3CDTF">2025-11-20T12:18:46Z</dcterms:modified>
</cp:coreProperties>
</file>